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РУ УНИВЕРСИТЕТ 2021-2022 г.г\ОТЧЕТ по БРУ\Университет_на Коллегию 09.06.2022\БРУ коллегия 09.06.2022г._отправка\"/>
    </mc:Choice>
  </mc:AlternateContent>
  <bookViews>
    <workbookView xWindow="0" yWindow="120" windowWidth="28800" windowHeight="12012" activeTab="2"/>
  </bookViews>
  <sheets>
    <sheet name="ППС база+коэф" sheetId="3" r:id="rId1"/>
    <sheet name="ППС+педагогические работники" sheetId="1" r:id="rId2"/>
    <sheet name="Служащие+работники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G5" i="3" l="1"/>
  <c r="G29" i="2" l="1"/>
  <c r="G28" i="2"/>
  <c r="E28" i="2" l="1"/>
  <c r="E29" i="2"/>
  <c r="H29" i="2" s="1"/>
  <c r="P1" i="2"/>
  <c r="G43" i="2"/>
  <c r="E43" i="2"/>
  <c r="E14" i="2"/>
  <c r="G13" i="2"/>
  <c r="I29" i="2" l="1"/>
  <c r="I28" i="2"/>
  <c r="N30" i="2"/>
  <c r="I43" i="2"/>
  <c r="M43" i="2" s="1"/>
  <c r="E17" i="3"/>
  <c r="E12" i="3"/>
  <c r="E28" i="3"/>
  <c r="E9" i="3"/>
  <c r="E14" i="3"/>
  <c r="E19" i="3"/>
  <c r="E30" i="3"/>
  <c r="E11" i="3"/>
  <c r="E22" i="3"/>
  <c r="E26" i="3"/>
  <c r="E8" i="3"/>
  <c r="E18" i="3"/>
  <c r="E25" i="3"/>
  <c r="E10" i="3"/>
  <c r="E15" i="3"/>
  <c r="E20" i="3"/>
  <c r="E23" i="3"/>
  <c r="K43" i="2"/>
  <c r="K14" i="2"/>
  <c r="I14" i="2"/>
  <c r="M14" i="2" s="1"/>
  <c r="I13" i="2"/>
  <c r="M13" i="2" s="1"/>
  <c r="K13" i="2"/>
  <c r="E13" i="2"/>
  <c r="H13" i="2" s="1"/>
  <c r="G14" i="2"/>
  <c r="H14" i="2" s="1"/>
  <c r="N31" i="2" l="1"/>
  <c r="N43" i="2"/>
  <c r="N14" i="2"/>
  <c r="O14" i="2" s="1"/>
  <c r="P14" i="2" s="1"/>
  <c r="N13" i="2"/>
  <c r="O13" i="2" s="1"/>
  <c r="P13" i="2" s="1"/>
  <c r="M37" i="2"/>
  <c r="K37" i="2"/>
  <c r="N37" i="2" s="1"/>
  <c r="K7" i="2"/>
  <c r="M7" i="2"/>
  <c r="M6" i="2"/>
  <c r="K6" i="2"/>
  <c r="N7" i="2" l="1"/>
  <c r="N6" i="2"/>
  <c r="M22" i="2" l="1"/>
  <c r="M29" i="2" s="1"/>
  <c r="K22" i="2"/>
  <c r="K29" i="2" s="1"/>
  <c r="M21" i="2"/>
  <c r="M28" i="2" s="1"/>
  <c r="K21" i="2"/>
  <c r="K28" i="2" s="1"/>
  <c r="N28" i="2" s="1"/>
  <c r="O28" i="2" s="1"/>
  <c r="P28" i="2" s="1"/>
  <c r="N29" i="2" l="1"/>
  <c r="O29" i="2" s="1"/>
  <c r="P29" i="2" s="1"/>
  <c r="N22" i="2"/>
  <c r="C22" i="2"/>
  <c r="G22" i="2" s="1"/>
  <c r="C37" i="2"/>
  <c r="N21" i="2"/>
  <c r="C21" i="2"/>
  <c r="C7" i="2"/>
  <c r="C6" i="2"/>
  <c r="J33" i="1"/>
  <c r="S2" i="1"/>
  <c r="C31" i="1" s="1"/>
  <c r="L32" i="1" l="1"/>
  <c r="R32" i="1" s="1"/>
  <c r="S34" i="1"/>
  <c r="G31" i="1"/>
  <c r="E31" i="1"/>
  <c r="N34" i="1"/>
  <c r="C33" i="1"/>
  <c r="E33" i="1" s="1"/>
  <c r="C14" i="1"/>
  <c r="I15" i="1"/>
  <c r="K14" i="1"/>
  <c r="I14" i="1"/>
  <c r="K15" i="1"/>
  <c r="C15" i="1"/>
  <c r="N32" i="1"/>
  <c r="C32" i="1"/>
  <c r="L34" i="1"/>
  <c r="R34" i="1" s="1"/>
  <c r="S33" i="1"/>
  <c r="C34" i="1"/>
  <c r="E34" i="1" s="1"/>
  <c r="E22" i="2"/>
  <c r="H22" i="2" s="1"/>
  <c r="O22" i="2" s="1"/>
  <c r="P22" i="2" s="1"/>
  <c r="G37" i="2"/>
  <c r="E37" i="2"/>
  <c r="E7" i="2"/>
  <c r="G7" i="2"/>
  <c r="G21" i="2"/>
  <c r="E21" i="2"/>
  <c r="E6" i="2"/>
  <c r="G6" i="2"/>
  <c r="G33" i="1"/>
  <c r="L31" i="1"/>
  <c r="L33" i="1"/>
  <c r="N31" i="1"/>
  <c r="N33" i="1"/>
  <c r="T33" i="1"/>
  <c r="T34" i="1"/>
  <c r="N25" i="1"/>
  <c r="P25" i="1"/>
  <c r="R25" i="1"/>
  <c r="E25" i="1"/>
  <c r="G25" i="1"/>
  <c r="I25" i="1"/>
  <c r="R24" i="1"/>
  <c r="P24" i="1"/>
  <c r="N24" i="1"/>
  <c r="I24" i="1"/>
  <c r="E24" i="1"/>
  <c r="G24" i="1"/>
  <c r="N23" i="1"/>
  <c r="P23" i="1"/>
  <c r="R23" i="1"/>
  <c r="E23" i="1"/>
  <c r="G23" i="1"/>
  <c r="K23" i="1" s="1"/>
  <c r="P22" i="1"/>
  <c r="R22" i="1"/>
  <c r="N22" i="1"/>
  <c r="G22" i="1"/>
  <c r="E22" i="1"/>
  <c r="O8" i="1"/>
  <c r="M8" i="1"/>
  <c r="K8" i="1"/>
  <c r="G8" i="1"/>
  <c r="E8" i="1"/>
  <c r="O7" i="1"/>
  <c r="M7" i="1"/>
  <c r="K7" i="1"/>
  <c r="G7" i="1"/>
  <c r="E7" i="1"/>
  <c r="K31" i="1" l="1"/>
  <c r="U22" i="1"/>
  <c r="K22" i="1"/>
  <c r="P32" i="1"/>
  <c r="U32" i="1" s="1"/>
  <c r="P34" i="1"/>
  <c r="U34" i="1" s="1"/>
  <c r="I33" i="1"/>
  <c r="K33" i="1" s="1"/>
  <c r="G32" i="1"/>
  <c r="E32" i="1"/>
  <c r="O14" i="1"/>
  <c r="M14" i="1"/>
  <c r="H7" i="1"/>
  <c r="U24" i="1"/>
  <c r="G34" i="1"/>
  <c r="I34" i="1"/>
  <c r="G15" i="1"/>
  <c r="E15" i="1"/>
  <c r="M15" i="1"/>
  <c r="O15" i="1"/>
  <c r="G14" i="1"/>
  <c r="E14" i="1"/>
  <c r="H6" i="2"/>
  <c r="O6" i="2" s="1"/>
  <c r="P6" i="2" s="1"/>
  <c r="H7" i="2"/>
  <c r="O7" i="2" s="1"/>
  <c r="P7" i="2" s="1"/>
  <c r="H37" i="2"/>
  <c r="H21" i="2"/>
  <c r="O21" i="2" s="1"/>
  <c r="P21" i="2" s="1"/>
  <c r="P33" i="1"/>
  <c r="R33" i="1"/>
  <c r="P8" i="1"/>
  <c r="K24" i="1"/>
  <c r="V24" i="1" s="1"/>
  <c r="W24" i="1" s="1"/>
  <c r="P31" i="1"/>
  <c r="R31" i="1"/>
  <c r="U25" i="1"/>
  <c r="K25" i="1"/>
  <c r="P7" i="1"/>
  <c r="H8" i="1"/>
  <c r="V22" i="1"/>
  <c r="W22" i="1" s="1"/>
  <c r="U23" i="1"/>
  <c r="V23" i="1" s="1"/>
  <c r="W23" i="1" s="1"/>
  <c r="Q8" i="1" l="1"/>
  <c r="R8" i="1" s="1"/>
  <c r="Q7" i="1"/>
  <c r="R7" i="1" s="1"/>
  <c r="P15" i="1"/>
  <c r="K34" i="1"/>
  <c r="V34" i="1" s="1"/>
  <c r="W34" i="1" s="1"/>
  <c r="P14" i="1"/>
  <c r="V25" i="1"/>
  <c r="W25" i="1" s="1"/>
  <c r="H14" i="1"/>
  <c r="H15" i="1"/>
  <c r="K32" i="1"/>
  <c r="V32" i="1" s="1"/>
  <c r="W32" i="1" s="1"/>
  <c r="O37" i="2"/>
  <c r="P37" i="2" s="1"/>
  <c r="H43" i="2"/>
  <c r="O43" i="2" s="1"/>
  <c r="P43" i="2" s="1"/>
  <c r="U31" i="1"/>
  <c r="V31" i="1" s="1"/>
  <c r="W31" i="1" s="1"/>
  <c r="U33" i="1"/>
  <c r="V33" i="1" s="1"/>
  <c r="W33" i="1" s="1"/>
  <c r="Q15" i="1" l="1"/>
  <c r="R15" i="1" s="1"/>
  <c r="Q14" i="1"/>
  <c r="R14" i="1" s="1"/>
</calcChain>
</file>

<file path=xl/sharedStrings.xml><?xml version="1.0" encoding="utf-8"?>
<sst xmlns="http://schemas.openxmlformats.org/spreadsheetml/2006/main" count="347" uniqueCount="64">
  <si>
    <t>Профессиональная квалификационная группа должностей педагогических работников</t>
  </si>
  <si>
    <t>Квалификационный уровень</t>
  </si>
  <si>
    <t>2 квалификационный уровень</t>
  </si>
  <si>
    <t>Должностной оклад</t>
  </si>
  <si>
    <t>Стаж работы в бюджетных организациях</t>
  </si>
  <si>
    <t>%</t>
  </si>
  <si>
    <t>руб.</t>
  </si>
  <si>
    <t>Фонд оплаты труда без учета стимулирующих и компенсирующих выплат</t>
  </si>
  <si>
    <t>Формирование фонда оплаты труда за счет средств республиканского бюджета</t>
  </si>
  <si>
    <t>Оклад</t>
  </si>
  <si>
    <t>Разница</t>
  </si>
  <si>
    <t>Педагог-организатор</t>
  </si>
  <si>
    <t>3 квалификационный уровень</t>
  </si>
  <si>
    <t>Методист</t>
  </si>
  <si>
    <t>Надбака за специфику работы в сфере образования</t>
  </si>
  <si>
    <t>Профессиональная квалификационная группа должностей профессорско-преподавательского состава</t>
  </si>
  <si>
    <t>1 квалификационный уровень</t>
  </si>
  <si>
    <t>Преподаватель</t>
  </si>
  <si>
    <t>Надбака за должность</t>
  </si>
  <si>
    <t>Ст.преподаватель</t>
  </si>
  <si>
    <t>Доцент (к.н.,доц.)</t>
  </si>
  <si>
    <t>Доплата за уч.степень</t>
  </si>
  <si>
    <t>Надбавка за уч.степень</t>
  </si>
  <si>
    <t>Надбавка за уч.звание</t>
  </si>
  <si>
    <t>4 квалификационный уровень</t>
  </si>
  <si>
    <t>Профессиональная квалификационная группа "Общеотраслевые должности служащих второго уровня"</t>
  </si>
  <si>
    <t>Лаборант</t>
  </si>
  <si>
    <t>Техник 2 категории</t>
  </si>
  <si>
    <t>Профессиональная квалификационная группа "Общеотраслевые должности служащих третьего уровня"</t>
  </si>
  <si>
    <t>Инженер</t>
  </si>
  <si>
    <t>Бухгалтер 1 категории</t>
  </si>
  <si>
    <t>Профессиональная квалификационная группа "Общеотраслевые профессии рабочих первого уровня"</t>
  </si>
  <si>
    <t>Уборщик служебных помещений</t>
  </si>
  <si>
    <t>Наименование должности</t>
  </si>
  <si>
    <t>Базовый оклад, росс.руб.</t>
  </si>
  <si>
    <t>Повышающий коэффициент</t>
  </si>
  <si>
    <t>Размер оплаты труда с учетом повышающего коэффициента, росс.руб.</t>
  </si>
  <si>
    <t>Размер оплаты труда с учетом повышающего коэффициента, бел.руб.</t>
  </si>
  <si>
    <t>Преподаватель-стажер</t>
  </si>
  <si>
    <t>Ассистент-стажер</t>
  </si>
  <si>
    <t>Ассистент</t>
  </si>
  <si>
    <t>Ассистент (к.н.)</t>
  </si>
  <si>
    <t>Старший преподаватель</t>
  </si>
  <si>
    <t>Старший преподаватель (к.н.)</t>
  </si>
  <si>
    <t>Доцент (к.н.)</t>
  </si>
  <si>
    <t>Доцент (доц.)</t>
  </si>
  <si>
    <t>Доцент (д.н.,уч.зв. доцент)</t>
  </si>
  <si>
    <t>Профессор (к.н, проф.)</t>
  </si>
  <si>
    <t>5 квалификационный уровень</t>
  </si>
  <si>
    <t>6 квалификационный уровень</t>
  </si>
  <si>
    <t>Декан факультета</t>
  </si>
  <si>
    <t>Оплата в бел.руб.</t>
  </si>
  <si>
    <t>Оплата в росс.руб.</t>
  </si>
  <si>
    <t>курс росс.руб.</t>
  </si>
  <si>
    <t xml:space="preserve">Анализ фонда оплаты труда работников Университета </t>
  </si>
  <si>
    <t>Приложение № 5
к отчету о результатах совместного контрольного мероприятия
от 9 июня 2022 г.</t>
  </si>
  <si>
    <t>Профессор (д.н.)</t>
  </si>
  <si>
    <t>Профессор (уч.зв. профессор)</t>
  </si>
  <si>
    <t>Профессор (д.н., проф.)</t>
  </si>
  <si>
    <t>Профессор (д.н., доц.)</t>
  </si>
  <si>
    <t>Заведующий кафедрой (доц.,к.н.)</t>
  </si>
  <si>
    <t>Формирование фонда оплаты труда сотрудников Университета за счет субсидии Российской Федерации</t>
  </si>
  <si>
    <t>Распределение по ПКГ должностей работников  Университета в соответствии со штатным расписанием</t>
  </si>
  <si>
    <t>Надбака за работу по контракту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</si>
</sst>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2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/>
    <xf numFmtId="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" fontId="0" fillId="0" borderId="0" xfId="0" applyNumberFormat="1"/>
    <xf numFmtId="165" fontId="1" fillId="0" borderId="0" xfId="0" applyNumberFormat="1" applyFont="1"/>
    <xf numFmtId="4" fontId="1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2" fillId="0" borderId="1" xfId="0" applyFont="1" applyBorder="1"/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/>
    <xf numFmtId="165" fontId="1" fillId="0" borderId="1" xfId="0" applyNumberFormat="1" applyFont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A28" sqref="A28"/>
    </sheetView>
  </sheetViews>
  <sheetFormatPr defaultRowHeight="14.4" x14ac:dyDescent="0.3"/>
  <cols>
    <col min="1" max="1" width="26.88671875" customWidth="1"/>
    <col min="2" max="2" width="16.109375" customWidth="1"/>
    <col min="3" max="3" width="15" customWidth="1"/>
    <col min="4" max="4" width="25.44140625" customWidth="1"/>
    <col min="5" max="5" width="23" customWidth="1"/>
    <col min="6" max="6" width="14.109375" customWidth="1"/>
    <col min="7" max="7" width="11" customWidth="1"/>
    <col min="8" max="8" width="5.5546875" customWidth="1"/>
  </cols>
  <sheetData>
    <row r="1" spans="1:8" ht="15" customHeight="1" x14ac:dyDescent="0.3">
      <c r="F1" s="60" t="s">
        <v>55</v>
      </c>
      <c r="G1" s="60"/>
      <c r="H1" s="60"/>
    </row>
    <row r="2" spans="1:8" x14ac:dyDescent="0.3">
      <c r="F2" s="60"/>
      <c r="G2" s="60"/>
      <c r="H2" s="60"/>
    </row>
    <row r="3" spans="1:8" ht="39.6" customHeight="1" x14ac:dyDescent="0.3">
      <c r="A3" s="61" t="s">
        <v>54</v>
      </c>
      <c r="B3" s="61"/>
      <c r="C3" s="61"/>
      <c r="D3" s="61"/>
      <c r="E3" s="61"/>
      <c r="F3" s="60"/>
      <c r="G3" s="60"/>
      <c r="H3" s="60"/>
    </row>
    <row r="5" spans="1:8" x14ac:dyDescent="0.3">
      <c r="E5" s="53"/>
      <c r="F5" s="52" t="s">
        <v>53</v>
      </c>
      <c r="G5" s="44">
        <f>0.034472</f>
        <v>3.4472000000000003E-2</v>
      </c>
    </row>
    <row r="6" spans="1:8" ht="39.6" x14ac:dyDescent="0.3">
      <c r="A6" s="24" t="s">
        <v>33</v>
      </c>
      <c r="B6" s="24" t="s">
        <v>34</v>
      </c>
      <c r="C6" s="40" t="s">
        <v>35</v>
      </c>
      <c r="D6" s="24" t="s">
        <v>36</v>
      </c>
      <c r="E6" s="40" t="s">
        <v>37</v>
      </c>
      <c r="F6" s="52"/>
    </row>
    <row r="7" spans="1:8" x14ac:dyDescent="0.3">
      <c r="A7" s="58" t="s">
        <v>16</v>
      </c>
      <c r="B7" s="58"/>
      <c r="C7" s="58"/>
      <c r="D7" s="58"/>
      <c r="E7" s="40"/>
    </row>
    <row r="8" spans="1:8" x14ac:dyDescent="0.3">
      <c r="A8" s="26" t="s">
        <v>38</v>
      </c>
      <c r="B8" s="59">
        <v>11508</v>
      </c>
      <c r="C8" s="25">
        <v>1</v>
      </c>
      <c r="D8" s="27">
        <v>11508</v>
      </c>
      <c r="E8" s="40">
        <f>ROUND(D8*'Служащие+работники'!$P$1,2)</f>
        <v>396.7</v>
      </c>
      <c r="G8" s="34"/>
    </row>
    <row r="9" spans="1:8" x14ac:dyDescent="0.3">
      <c r="A9" s="26" t="s">
        <v>39</v>
      </c>
      <c r="B9" s="59"/>
      <c r="C9" s="24">
        <v>1</v>
      </c>
      <c r="D9" s="27">
        <v>11508</v>
      </c>
      <c r="E9" s="24">
        <f>ROUND(D9*'Служащие+работники'!$P$1,2)</f>
        <v>396.7</v>
      </c>
    </row>
    <row r="10" spans="1:8" x14ac:dyDescent="0.3">
      <c r="A10" s="26" t="s">
        <v>17</v>
      </c>
      <c r="B10" s="59"/>
      <c r="C10" s="24">
        <v>1.07</v>
      </c>
      <c r="D10" s="37">
        <v>12313.56</v>
      </c>
      <c r="E10" s="24">
        <f>ROUND(D10*'Служащие+работники'!$P$1,2)</f>
        <v>424.47</v>
      </c>
      <c r="G10" s="34"/>
    </row>
    <row r="11" spans="1:8" x14ac:dyDescent="0.3">
      <c r="A11" s="26" t="s">
        <v>40</v>
      </c>
      <c r="B11" s="59"/>
      <c r="C11" s="24">
        <v>1.07</v>
      </c>
      <c r="D11" s="27">
        <v>12313.56</v>
      </c>
      <c r="E11" s="24">
        <f>ROUND(D11*'Служащие+работники'!$P$1,2)</f>
        <v>424.47</v>
      </c>
    </row>
    <row r="12" spans="1:8" x14ac:dyDescent="0.3">
      <c r="A12" s="26" t="s">
        <v>41</v>
      </c>
      <c r="B12" s="59"/>
      <c r="C12" s="24">
        <v>1.2</v>
      </c>
      <c r="D12" s="27">
        <v>13809.6</v>
      </c>
      <c r="E12" s="24">
        <f>ROUND(D12*'Служащие+работники'!$P$1,2)</f>
        <v>476.04</v>
      </c>
      <c r="G12" s="34"/>
    </row>
    <row r="13" spans="1:8" x14ac:dyDescent="0.3">
      <c r="A13" s="58" t="s">
        <v>2</v>
      </c>
      <c r="B13" s="58"/>
      <c r="C13" s="58"/>
      <c r="D13" s="58"/>
      <c r="E13" s="24"/>
    </row>
    <row r="14" spans="1:8" x14ac:dyDescent="0.3">
      <c r="A14" s="26" t="s">
        <v>42</v>
      </c>
      <c r="B14" s="59">
        <v>11508</v>
      </c>
      <c r="C14" s="24">
        <v>1.1399999999999999</v>
      </c>
      <c r="D14" s="37">
        <v>13119.12</v>
      </c>
      <c r="E14" s="24">
        <f>ROUND(D14*'Служащие+работники'!$P$1,2)</f>
        <v>452.24</v>
      </c>
      <c r="G14" s="34"/>
    </row>
    <row r="15" spans="1:8" x14ac:dyDescent="0.3">
      <c r="A15" s="26" t="s">
        <v>43</v>
      </c>
      <c r="B15" s="59"/>
      <c r="C15" s="24">
        <v>1.26</v>
      </c>
      <c r="D15" s="27">
        <v>14500.08</v>
      </c>
      <c r="E15" s="24">
        <f>ROUND(D15*'Служащие+работники'!$P$1,2)</f>
        <v>499.85</v>
      </c>
      <c r="G15" s="34"/>
    </row>
    <row r="16" spans="1:8" x14ac:dyDescent="0.3">
      <c r="A16" s="58" t="s">
        <v>12</v>
      </c>
      <c r="B16" s="58"/>
      <c r="C16" s="58"/>
      <c r="D16" s="58"/>
      <c r="E16" s="24"/>
    </row>
    <row r="17" spans="1:7" x14ac:dyDescent="0.3">
      <c r="A17" s="26" t="s">
        <v>44</v>
      </c>
      <c r="B17" s="59">
        <v>11508</v>
      </c>
      <c r="C17" s="25">
        <v>1.07</v>
      </c>
      <c r="D17" s="27">
        <v>12313.56</v>
      </c>
      <c r="E17" s="24">
        <f>ROUND(D17*'Служащие+работники'!$P$1,2)</f>
        <v>424.47</v>
      </c>
      <c r="G17" s="34"/>
    </row>
    <row r="18" spans="1:7" x14ac:dyDescent="0.3">
      <c r="A18" s="26" t="s">
        <v>45</v>
      </c>
      <c r="B18" s="59"/>
      <c r="C18" s="24">
        <v>1.08</v>
      </c>
      <c r="D18" s="27">
        <v>12428.64</v>
      </c>
      <c r="E18" s="24">
        <f>ROUND(D18*'Служащие+работники'!$P$1,2)</f>
        <v>428.44</v>
      </c>
      <c r="G18" s="34"/>
    </row>
    <row r="19" spans="1:7" x14ac:dyDescent="0.3">
      <c r="A19" s="26" t="s">
        <v>20</v>
      </c>
      <c r="B19" s="59"/>
      <c r="C19" s="25">
        <v>1.18</v>
      </c>
      <c r="D19" s="37">
        <v>13579.44</v>
      </c>
      <c r="E19" s="24">
        <f>ROUND(D19*'Служащие+работники'!$P$1,2)</f>
        <v>468.11</v>
      </c>
      <c r="G19" s="34"/>
    </row>
    <row r="20" spans="1:7" x14ac:dyDescent="0.3">
      <c r="A20" s="26" t="s">
        <v>46</v>
      </c>
      <c r="B20" s="59"/>
      <c r="C20" s="24">
        <v>1.1200000000000001</v>
      </c>
      <c r="D20" s="27">
        <v>12888.96</v>
      </c>
      <c r="E20" s="24">
        <f>ROUND(D20*'Служащие+работники'!$P$1,2)</f>
        <v>444.31</v>
      </c>
      <c r="G20" s="34"/>
    </row>
    <row r="21" spans="1:7" x14ac:dyDescent="0.3">
      <c r="A21" s="58" t="s">
        <v>24</v>
      </c>
      <c r="B21" s="58"/>
      <c r="C21" s="58"/>
      <c r="D21" s="58"/>
      <c r="E21" s="24"/>
    </row>
    <row r="22" spans="1:7" x14ac:dyDescent="0.3">
      <c r="A22" s="26" t="s">
        <v>47</v>
      </c>
      <c r="B22" s="59">
        <v>11508</v>
      </c>
      <c r="C22" s="25">
        <v>1.23</v>
      </c>
      <c r="D22" s="27">
        <v>14154.84</v>
      </c>
      <c r="E22" s="24">
        <f>ROUND(D22*'Служащие+работники'!$P$1,2)</f>
        <v>487.95</v>
      </c>
      <c r="G22" s="34"/>
    </row>
    <row r="23" spans="1:7" x14ac:dyDescent="0.3">
      <c r="A23" s="26" t="s">
        <v>56</v>
      </c>
      <c r="B23" s="59"/>
      <c r="C23" s="58">
        <v>1.1000000000000001</v>
      </c>
      <c r="D23" s="59">
        <v>12658.8</v>
      </c>
      <c r="E23" s="58">
        <f>ROUND(D23*'Служащие+работники'!$P$1,2)</f>
        <v>436.37</v>
      </c>
      <c r="F23" s="62"/>
      <c r="G23" s="63"/>
    </row>
    <row r="24" spans="1:7" x14ac:dyDescent="0.3">
      <c r="A24" s="26" t="s">
        <v>57</v>
      </c>
      <c r="B24" s="59"/>
      <c r="C24" s="58"/>
      <c r="D24" s="59"/>
      <c r="E24" s="58"/>
      <c r="F24" s="62"/>
      <c r="G24" s="64"/>
    </row>
    <row r="25" spans="1:7" x14ac:dyDescent="0.3">
      <c r="A25" s="26" t="s">
        <v>59</v>
      </c>
      <c r="B25" s="59"/>
      <c r="C25" s="25">
        <v>1.1000000000000001</v>
      </c>
      <c r="D25" s="27">
        <v>12658.8</v>
      </c>
      <c r="E25" s="24">
        <f>ROUND(D25*'Служащие+работники'!$P$1,2)</f>
        <v>436.37</v>
      </c>
      <c r="G25" s="34"/>
    </row>
    <row r="26" spans="1:7" x14ac:dyDescent="0.3">
      <c r="A26" s="26" t="s">
        <v>58</v>
      </c>
      <c r="B26" s="59"/>
      <c r="C26" s="25">
        <v>1.2</v>
      </c>
      <c r="D26" s="37">
        <v>13809.6</v>
      </c>
      <c r="E26" s="24">
        <f>ROUND(D26*'Служащие+работники'!$P$1,2)</f>
        <v>476.04</v>
      </c>
      <c r="G26" s="34"/>
    </row>
    <row r="27" spans="1:7" x14ac:dyDescent="0.3">
      <c r="A27" s="58" t="s">
        <v>48</v>
      </c>
      <c r="B27" s="58"/>
      <c r="C27" s="58"/>
      <c r="D27" s="58"/>
      <c r="E27" s="24"/>
    </row>
    <row r="28" spans="1:7" ht="26.4" x14ac:dyDescent="0.3">
      <c r="A28" s="26" t="s">
        <v>60</v>
      </c>
      <c r="B28" s="27">
        <v>11508</v>
      </c>
      <c r="C28" s="24">
        <v>1.33</v>
      </c>
      <c r="D28" s="27">
        <v>15305.64</v>
      </c>
      <c r="E28" s="24">
        <f>ROUND(D28*'Служащие+работники'!$P$1,2)</f>
        <v>527.62</v>
      </c>
      <c r="G28" s="34"/>
    </row>
    <row r="29" spans="1:7" x14ac:dyDescent="0.3">
      <c r="A29" s="58" t="s">
        <v>49</v>
      </c>
      <c r="B29" s="58"/>
      <c r="C29" s="58"/>
      <c r="D29" s="58"/>
      <c r="E29" s="24"/>
    </row>
    <row r="30" spans="1:7" x14ac:dyDescent="0.3">
      <c r="A30" s="26" t="s">
        <v>50</v>
      </c>
      <c r="B30" s="27">
        <v>11508</v>
      </c>
      <c r="C30" s="25">
        <v>1.35</v>
      </c>
      <c r="D30" s="27">
        <v>15535.8</v>
      </c>
      <c r="E30" s="24">
        <f>ROUND(D30*'Служащие+работники'!$P$1,2)</f>
        <v>535.54999999999995</v>
      </c>
      <c r="G30" s="34"/>
    </row>
  </sheetData>
  <mergeCells count="17">
    <mergeCell ref="A16:D16"/>
    <mergeCell ref="F1:H3"/>
    <mergeCell ref="A3:E3"/>
    <mergeCell ref="F23:F24"/>
    <mergeCell ref="G23:G24"/>
    <mergeCell ref="E23:E24"/>
    <mergeCell ref="B17:B20"/>
    <mergeCell ref="A7:D7"/>
    <mergeCell ref="B8:B12"/>
    <mergeCell ref="A13:D13"/>
    <mergeCell ref="B14:B15"/>
    <mergeCell ref="A29:D29"/>
    <mergeCell ref="A21:D21"/>
    <mergeCell ref="B22:B26"/>
    <mergeCell ref="C23:C24"/>
    <mergeCell ref="D23:D24"/>
    <mergeCell ref="A27:D27"/>
  </mergeCells>
  <pageMargins left="0.39370078740157483" right="0.39370078740157483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view="pageBreakPreview" topLeftCell="J19" zoomScaleNormal="100" zoomScaleSheetLayoutView="100" workbookViewId="0">
      <selection activeCell="H29" sqref="H29:I29"/>
    </sheetView>
  </sheetViews>
  <sheetFormatPr defaultColWidth="9.109375" defaultRowHeight="13.8" x14ac:dyDescent="0.25"/>
  <cols>
    <col min="1" max="1" width="29" style="1" bestFit="1" customWidth="1"/>
    <col min="2" max="2" width="30.88671875" style="1" customWidth="1"/>
    <col min="3" max="3" width="14.33203125" style="1" customWidth="1"/>
    <col min="4" max="4" width="15.109375" style="1" customWidth="1"/>
    <col min="5" max="5" width="10.5546875" style="1" customWidth="1"/>
    <col min="6" max="6" width="11.6640625" style="1" customWidth="1"/>
    <col min="7" max="7" width="11.33203125" style="1" customWidth="1"/>
    <col min="8" max="8" width="18.88671875" style="18" customWidth="1"/>
    <col min="9" max="9" width="16.88671875" style="1" customWidth="1"/>
    <col min="10" max="10" width="16.5546875" style="1" customWidth="1"/>
    <col min="11" max="11" width="21.88671875" style="18" customWidth="1"/>
    <col min="12" max="12" width="18.6640625" style="18" customWidth="1"/>
    <col min="13" max="13" width="11.5546875" style="1" customWidth="1"/>
    <col min="14" max="15" width="10.109375" style="1" customWidth="1"/>
    <col min="16" max="16" width="17.6640625" style="1" customWidth="1"/>
    <col min="17" max="17" width="10.109375" style="1" customWidth="1"/>
    <col min="18" max="18" width="13.88671875" style="1" customWidth="1"/>
    <col min="19" max="20" width="13.44140625" style="1" customWidth="1"/>
    <col min="21" max="21" width="17.109375" style="1" customWidth="1"/>
    <col min="22" max="22" width="13.6640625" style="1" customWidth="1"/>
    <col min="23" max="23" width="8.33203125" style="1" customWidth="1"/>
    <col min="24" max="16384" width="9.109375" style="1"/>
  </cols>
  <sheetData>
    <row r="2" spans="1:20" ht="14.4" x14ac:dyDescent="0.3">
      <c r="A2" s="6" t="s">
        <v>0</v>
      </c>
      <c r="R2" s="52" t="s">
        <v>53</v>
      </c>
      <c r="S2" s="44">
        <f>0.034472</f>
        <v>3.4472000000000003E-2</v>
      </c>
    </row>
    <row r="3" spans="1:20" ht="14.4" x14ac:dyDescent="0.3">
      <c r="A3" s="31" t="s">
        <v>51</v>
      </c>
      <c r="T3" s="6"/>
    </row>
    <row r="4" spans="1:20" ht="14.4" x14ac:dyDescent="0.3">
      <c r="A4" s="81" t="s">
        <v>61</v>
      </c>
      <c r="B4" s="82"/>
      <c r="C4" s="82"/>
      <c r="D4" s="82"/>
      <c r="E4" s="82"/>
      <c r="F4" s="82"/>
      <c r="G4" s="82"/>
      <c r="H4" s="82"/>
      <c r="I4" s="67" t="s">
        <v>8</v>
      </c>
      <c r="J4" s="68"/>
      <c r="K4" s="68"/>
      <c r="L4" s="68"/>
      <c r="M4" s="68"/>
      <c r="N4" s="68"/>
      <c r="O4" s="68"/>
      <c r="P4" s="68"/>
      <c r="Q4" s="78" t="s">
        <v>10</v>
      </c>
      <c r="R4" s="78"/>
    </row>
    <row r="5" spans="1:20" ht="54" customHeight="1" x14ac:dyDescent="0.3">
      <c r="A5" s="78" t="s">
        <v>1</v>
      </c>
      <c r="B5" s="78" t="s">
        <v>62</v>
      </c>
      <c r="C5" s="78" t="s">
        <v>3</v>
      </c>
      <c r="D5" s="78" t="s">
        <v>4</v>
      </c>
      <c r="E5" s="68"/>
      <c r="F5" s="78" t="s">
        <v>63</v>
      </c>
      <c r="G5" s="68"/>
      <c r="H5" s="83" t="s">
        <v>7</v>
      </c>
      <c r="I5" s="78" t="s">
        <v>9</v>
      </c>
      <c r="J5" s="78" t="s">
        <v>4</v>
      </c>
      <c r="K5" s="68"/>
      <c r="L5" s="78" t="s">
        <v>63</v>
      </c>
      <c r="M5" s="68"/>
      <c r="N5" s="78" t="s">
        <v>14</v>
      </c>
      <c r="O5" s="68"/>
      <c r="P5" s="78" t="s">
        <v>7</v>
      </c>
      <c r="Q5" s="78"/>
      <c r="R5" s="78"/>
    </row>
    <row r="6" spans="1:20" ht="30" customHeight="1" x14ac:dyDescent="0.25">
      <c r="A6" s="79"/>
      <c r="B6" s="79"/>
      <c r="C6" s="79"/>
      <c r="D6" s="2" t="s">
        <v>5</v>
      </c>
      <c r="E6" s="3" t="s">
        <v>6</v>
      </c>
      <c r="F6" s="2" t="s">
        <v>5</v>
      </c>
      <c r="G6" s="3" t="s">
        <v>6</v>
      </c>
      <c r="H6" s="84"/>
      <c r="I6" s="79"/>
      <c r="J6" s="2" t="s">
        <v>5</v>
      </c>
      <c r="K6" s="22" t="s">
        <v>6</v>
      </c>
      <c r="L6" s="21" t="s">
        <v>5</v>
      </c>
      <c r="M6" s="3" t="s">
        <v>6</v>
      </c>
      <c r="N6" s="2" t="s">
        <v>5</v>
      </c>
      <c r="O6" s="3" t="s">
        <v>6</v>
      </c>
      <c r="P6" s="79"/>
      <c r="Q6" s="42" t="s">
        <v>6</v>
      </c>
      <c r="R6" s="3" t="s">
        <v>5</v>
      </c>
    </row>
    <row r="7" spans="1:20" x14ac:dyDescent="0.25">
      <c r="A7" s="4" t="s">
        <v>2</v>
      </c>
      <c r="B7" s="4" t="s">
        <v>11</v>
      </c>
      <c r="C7" s="5">
        <v>346.84</v>
      </c>
      <c r="D7" s="5">
        <v>20</v>
      </c>
      <c r="E7" s="5">
        <f>ROUND(D7/100*C7,2)</f>
        <v>69.37</v>
      </c>
      <c r="F7" s="5">
        <v>50</v>
      </c>
      <c r="G7" s="5">
        <f>ROUND(F7/100*C7,2)</f>
        <v>173.42</v>
      </c>
      <c r="H7" s="19">
        <f>G7+E7+C7</f>
        <v>589.63</v>
      </c>
      <c r="I7" s="5">
        <v>291.06</v>
      </c>
      <c r="J7" s="5">
        <v>20</v>
      </c>
      <c r="K7" s="19">
        <f>ROUND(J7/100*198,2)</f>
        <v>39.6</v>
      </c>
      <c r="L7" s="19">
        <v>50</v>
      </c>
      <c r="M7" s="5">
        <f>ROUND(L7/100*I7,2)</f>
        <v>145.53</v>
      </c>
      <c r="N7" s="5">
        <v>5</v>
      </c>
      <c r="O7" s="5">
        <f>ROUND(N7/100*I7,2)</f>
        <v>14.55</v>
      </c>
      <c r="P7" s="5">
        <f>M7+K7+I7+O7</f>
        <v>490.74</v>
      </c>
      <c r="Q7" s="5">
        <f>H7-P7</f>
        <v>98.889999999999986</v>
      </c>
      <c r="R7" s="43">
        <f>Q7/P7*100</f>
        <v>20.151200228226756</v>
      </c>
    </row>
    <row r="8" spans="1:20" x14ac:dyDescent="0.25">
      <c r="A8" s="4" t="s">
        <v>12</v>
      </c>
      <c r="B8" s="4" t="s">
        <v>13</v>
      </c>
      <c r="C8" s="5">
        <v>369.74</v>
      </c>
      <c r="D8" s="5">
        <v>20</v>
      </c>
      <c r="E8" s="5">
        <f>ROUND(D8/100*C8,2)</f>
        <v>73.95</v>
      </c>
      <c r="F8" s="5">
        <v>50</v>
      </c>
      <c r="G8" s="5">
        <f>ROUND(F8/100*C8,2)</f>
        <v>184.87</v>
      </c>
      <c r="H8" s="19">
        <f>G8+E8+C8</f>
        <v>628.55999999999995</v>
      </c>
      <c r="I8" s="5">
        <v>310.86</v>
      </c>
      <c r="J8" s="5">
        <v>20</v>
      </c>
      <c r="K8" s="19">
        <f>ROUND(J8/100*198,2)</f>
        <v>39.6</v>
      </c>
      <c r="L8" s="19">
        <v>50</v>
      </c>
      <c r="M8" s="5">
        <f>ROUND(L8/100*I8,2)</f>
        <v>155.43</v>
      </c>
      <c r="N8" s="5">
        <v>5</v>
      </c>
      <c r="O8" s="5">
        <f>ROUND(N8/100*I8,2)</f>
        <v>15.54</v>
      </c>
      <c r="P8" s="5">
        <f>M8+K8+I8+O8</f>
        <v>521.42999999999995</v>
      </c>
      <c r="Q8" s="5">
        <f>H8-P8</f>
        <v>107.13</v>
      </c>
      <c r="R8" s="43">
        <f>Q8/P8*100</f>
        <v>20.545423163224211</v>
      </c>
    </row>
    <row r="9" spans="1:20" x14ac:dyDescent="0.25">
      <c r="A9" s="12"/>
      <c r="B9" s="12"/>
      <c r="C9" s="16"/>
      <c r="D9" s="16"/>
      <c r="E9" s="16"/>
      <c r="F9" s="16"/>
      <c r="G9" s="16"/>
      <c r="H9" s="17"/>
      <c r="I9" s="16"/>
      <c r="J9" s="16"/>
      <c r="K9" s="17"/>
      <c r="L9" s="17"/>
      <c r="M9" s="16"/>
      <c r="N9" s="16"/>
      <c r="O9" s="16"/>
      <c r="P9" s="16"/>
      <c r="Q9" s="16"/>
    </row>
    <row r="10" spans="1:20" x14ac:dyDescent="0.25">
      <c r="A10" s="50" t="s">
        <v>52</v>
      </c>
      <c r="B10" s="12"/>
      <c r="C10" s="16"/>
      <c r="D10" s="16"/>
      <c r="E10" s="16"/>
      <c r="F10" s="16"/>
      <c r="G10" s="16"/>
      <c r="H10" s="17"/>
      <c r="I10" s="16"/>
      <c r="J10" s="16"/>
      <c r="K10" s="17"/>
      <c r="L10" s="17"/>
      <c r="M10" s="16"/>
      <c r="N10" s="16"/>
      <c r="O10" s="16"/>
      <c r="P10" s="16"/>
      <c r="Q10" s="16"/>
    </row>
    <row r="11" spans="1:20" ht="14.4" x14ac:dyDescent="0.3">
      <c r="A11" s="65" t="s">
        <v>61</v>
      </c>
      <c r="B11" s="66"/>
      <c r="C11" s="66"/>
      <c r="D11" s="66"/>
      <c r="E11" s="66"/>
      <c r="F11" s="66"/>
      <c r="G11" s="66"/>
      <c r="H11" s="66"/>
      <c r="I11" s="67" t="s">
        <v>8</v>
      </c>
      <c r="J11" s="68"/>
      <c r="K11" s="68"/>
      <c r="L11" s="68"/>
      <c r="M11" s="68"/>
      <c r="N11" s="68"/>
      <c r="O11" s="68"/>
      <c r="P11" s="68"/>
      <c r="Q11" s="85" t="s">
        <v>10</v>
      </c>
      <c r="R11" s="85"/>
    </row>
    <row r="12" spans="1:20" ht="43.8" customHeight="1" x14ac:dyDescent="0.3">
      <c r="A12" s="78" t="s">
        <v>1</v>
      </c>
      <c r="B12" s="78" t="s">
        <v>62</v>
      </c>
      <c r="C12" s="78" t="s">
        <v>3</v>
      </c>
      <c r="D12" s="78" t="s">
        <v>4</v>
      </c>
      <c r="E12" s="68"/>
      <c r="F12" s="78" t="s">
        <v>63</v>
      </c>
      <c r="G12" s="68"/>
      <c r="H12" s="83" t="s">
        <v>7</v>
      </c>
      <c r="I12" s="78" t="s">
        <v>9</v>
      </c>
      <c r="J12" s="78" t="s">
        <v>4</v>
      </c>
      <c r="K12" s="68"/>
      <c r="L12" s="78" t="s">
        <v>63</v>
      </c>
      <c r="M12" s="68"/>
      <c r="N12" s="78" t="s">
        <v>14</v>
      </c>
      <c r="O12" s="68"/>
      <c r="P12" s="78" t="s">
        <v>7</v>
      </c>
      <c r="Q12" s="87" t="s">
        <v>6</v>
      </c>
      <c r="R12" s="86" t="s">
        <v>5</v>
      </c>
    </row>
    <row r="13" spans="1:20" ht="55.8" customHeight="1" x14ac:dyDescent="0.25">
      <c r="A13" s="79"/>
      <c r="B13" s="79"/>
      <c r="C13" s="79"/>
      <c r="D13" s="10" t="s">
        <v>5</v>
      </c>
      <c r="E13" s="3" t="s">
        <v>6</v>
      </c>
      <c r="F13" s="10" t="s">
        <v>5</v>
      </c>
      <c r="G13" s="3" t="s">
        <v>6</v>
      </c>
      <c r="H13" s="84"/>
      <c r="I13" s="79"/>
      <c r="J13" s="10" t="s">
        <v>5</v>
      </c>
      <c r="K13" s="22" t="s">
        <v>6</v>
      </c>
      <c r="L13" s="21" t="s">
        <v>5</v>
      </c>
      <c r="M13" s="3" t="s">
        <v>6</v>
      </c>
      <c r="N13" s="10" t="s">
        <v>5</v>
      </c>
      <c r="O13" s="3" t="s">
        <v>6</v>
      </c>
      <c r="P13" s="79"/>
      <c r="Q13" s="88"/>
      <c r="R13" s="86"/>
    </row>
    <row r="14" spans="1:20" x14ac:dyDescent="0.25">
      <c r="A14" s="4" t="s">
        <v>2</v>
      </c>
      <c r="B14" s="4" t="s">
        <v>11</v>
      </c>
      <c r="C14" s="8">
        <f>ROUND(C7/$S$2,2)</f>
        <v>10061.5</v>
      </c>
      <c r="D14" s="5">
        <v>20</v>
      </c>
      <c r="E14" s="8">
        <f>ROUND(D14/100*C14,2)</f>
        <v>2012.3</v>
      </c>
      <c r="F14" s="5">
        <v>50</v>
      </c>
      <c r="G14" s="8">
        <f>ROUND(F14/100*C14,2)</f>
        <v>5030.75</v>
      </c>
      <c r="H14" s="20">
        <f>G14+E14+C14</f>
        <v>17104.55</v>
      </c>
      <c r="I14" s="8">
        <f>ROUND(I7/$S$2,2)</f>
        <v>8443.3700000000008</v>
      </c>
      <c r="J14" s="5">
        <v>20</v>
      </c>
      <c r="K14" s="20">
        <f>ROUND(J14/100*198/$S$2,2)</f>
        <v>1148.76</v>
      </c>
      <c r="L14" s="19">
        <v>50</v>
      </c>
      <c r="M14" s="8">
        <f>ROUND(L14/100*I14,2)</f>
        <v>4221.6899999999996</v>
      </c>
      <c r="N14" s="5">
        <v>5</v>
      </c>
      <c r="O14" s="8">
        <f>ROUND(N14/100*I14,2)</f>
        <v>422.17</v>
      </c>
      <c r="P14" s="8">
        <f>M14+K14+I14+O14</f>
        <v>14235.99</v>
      </c>
      <c r="Q14" s="32">
        <f>H14-P14</f>
        <v>2868.5599999999995</v>
      </c>
      <c r="R14" s="55">
        <f>Q14/P14*100</f>
        <v>20.150056300966771</v>
      </c>
    </row>
    <row r="15" spans="1:20" x14ac:dyDescent="0.25">
      <c r="A15" s="4" t="s">
        <v>12</v>
      </c>
      <c r="B15" s="4" t="s">
        <v>13</v>
      </c>
      <c r="C15" s="8">
        <f>ROUND(C8/$S$2,2)</f>
        <v>10725.81</v>
      </c>
      <c r="D15" s="5">
        <v>20</v>
      </c>
      <c r="E15" s="8">
        <f>ROUND(D15/100*C15,2)</f>
        <v>2145.16</v>
      </c>
      <c r="F15" s="5">
        <v>50</v>
      </c>
      <c r="G15" s="8">
        <f>ROUND(F15/100*C15,2)</f>
        <v>5362.91</v>
      </c>
      <c r="H15" s="20">
        <f>G15+E15+C15</f>
        <v>18233.879999999997</v>
      </c>
      <c r="I15" s="8">
        <f>ROUND(I8/$S$2,2)</f>
        <v>9017.75</v>
      </c>
      <c r="J15" s="5">
        <v>20</v>
      </c>
      <c r="K15" s="20">
        <f>ROUND(J15/100*198/$S$2,2)</f>
        <v>1148.76</v>
      </c>
      <c r="L15" s="19">
        <v>50</v>
      </c>
      <c r="M15" s="8">
        <f>ROUND(L15/100*I15,2)</f>
        <v>4508.88</v>
      </c>
      <c r="N15" s="5">
        <v>5</v>
      </c>
      <c r="O15" s="8">
        <f>ROUND(N15/100*I15,2)</f>
        <v>450.89</v>
      </c>
      <c r="P15" s="8">
        <f>M15+K15+I15+O15</f>
        <v>15126.279999999999</v>
      </c>
      <c r="Q15" s="32">
        <f>H15-P15</f>
        <v>3107.5999999999985</v>
      </c>
      <c r="R15" s="55">
        <f>Q15/H15*100</f>
        <v>17.042999076444502</v>
      </c>
    </row>
    <row r="16" spans="1:20" x14ac:dyDescent="0.25">
      <c r="A16" s="12"/>
      <c r="B16" s="12"/>
      <c r="C16" s="16"/>
      <c r="D16" s="16"/>
      <c r="E16" s="16"/>
      <c r="F16" s="16"/>
      <c r="G16" s="16"/>
      <c r="H16" s="17"/>
      <c r="I16" s="17"/>
      <c r="J16" s="16"/>
      <c r="K16" s="17"/>
      <c r="L16" s="17"/>
      <c r="M16" s="16"/>
      <c r="N16" s="16"/>
      <c r="O16" s="16"/>
      <c r="P16" s="16"/>
      <c r="Q16" s="16"/>
    </row>
    <row r="17" spans="1:23" ht="14.4" x14ac:dyDescent="0.3">
      <c r="A17" s="6" t="s">
        <v>15</v>
      </c>
    </row>
    <row r="18" spans="1:23" x14ac:dyDescent="0.25">
      <c r="A18" s="31" t="s">
        <v>51</v>
      </c>
    </row>
    <row r="19" spans="1:23" ht="15" customHeight="1" x14ac:dyDescent="0.3">
      <c r="A19" s="81" t="s">
        <v>61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69" t="s">
        <v>8</v>
      </c>
      <c r="M19" s="70"/>
      <c r="N19" s="70"/>
      <c r="O19" s="70"/>
      <c r="P19" s="70"/>
      <c r="Q19" s="70"/>
      <c r="R19" s="70"/>
      <c r="S19" s="70"/>
      <c r="T19" s="70"/>
      <c r="U19" s="71"/>
      <c r="V19" s="78" t="s">
        <v>10</v>
      </c>
      <c r="W19" s="78"/>
    </row>
    <row r="20" spans="1:23" ht="48.75" customHeight="1" x14ac:dyDescent="0.3">
      <c r="A20" s="78" t="s">
        <v>1</v>
      </c>
      <c r="B20" s="78" t="s">
        <v>62</v>
      </c>
      <c r="C20" s="78" t="s">
        <v>3</v>
      </c>
      <c r="D20" s="78" t="s">
        <v>4</v>
      </c>
      <c r="E20" s="68"/>
      <c r="F20" s="78" t="s">
        <v>63</v>
      </c>
      <c r="G20" s="68"/>
      <c r="H20" s="78" t="s">
        <v>18</v>
      </c>
      <c r="I20" s="68"/>
      <c r="J20" s="78" t="s">
        <v>21</v>
      </c>
      <c r="K20" s="83" t="s">
        <v>7</v>
      </c>
      <c r="L20" s="78" t="s">
        <v>9</v>
      </c>
      <c r="M20" s="69" t="s">
        <v>4</v>
      </c>
      <c r="N20" s="80"/>
      <c r="O20" s="69" t="s">
        <v>63</v>
      </c>
      <c r="P20" s="80"/>
      <c r="Q20" s="69" t="s">
        <v>14</v>
      </c>
      <c r="R20" s="80"/>
      <c r="S20" s="77" t="s">
        <v>22</v>
      </c>
      <c r="T20" s="77" t="s">
        <v>23</v>
      </c>
      <c r="U20" s="77" t="s">
        <v>7</v>
      </c>
      <c r="V20" s="78"/>
      <c r="W20" s="78"/>
    </row>
    <row r="21" spans="1:23" ht="35.25" customHeight="1" x14ac:dyDescent="0.25">
      <c r="A21" s="79"/>
      <c r="B21" s="79"/>
      <c r="C21" s="79"/>
      <c r="D21" s="2" t="s">
        <v>5</v>
      </c>
      <c r="E21" s="3" t="s">
        <v>6</v>
      </c>
      <c r="F21" s="2" t="s">
        <v>5</v>
      </c>
      <c r="G21" s="3" t="s">
        <v>6</v>
      </c>
      <c r="H21" s="21" t="s">
        <v>5</v>
      </c>
      <c r="I21" s="3" t="s">
        <v>6</v>
      </c>
      <c r="J21" s="79"/>
      <c r="K21" s="84"/>
      <c r="L21" s="79"/>
      <c r="M21" s="2" t="s">
        <v>5</v>
      </c>
      <c r="N21" s="3" t="s">
        <v>6</v>
      </c>
      <c r="O21" s="2" t="s">
        <v>5</v>
      </c>
      <c r="P21" s="3" t="s">
        <v>6</v>
      </c>
      <c r="Q21" s="2" t="s">
        <v>5</v>
      </c>
      <c r="R21" s="3" t="s">
        <v>6</v>
      </c>
      <c r="S21" s="76"/>
      <c r="T21" s="76"/>
      <c r="U21" s="76"/>
      <c r="V21" s="42" t="s">
        <v>6</v>
      </c>
      <c r="W21" s="3" t="s">
        <v>5</v>
      </c>
    </row>
    <row r="22" spans="1:23" x14ac:dyDescent="0.25">
      <c r="A22" s="4" t="s">
        <v>16</v>
      </c>
      <c r="B22" s="4" t="s">
        <v>17</v>
      </c>
      <c r="C22" s="7">
        <v>424.47</v>
      </c>
      <c r="D22" s="5">
        <v>20</v>
      </c>
      <c r="E22" s="5">
        <f>ROUND(D22/100*C22,2)</f>
        <v>84.89</v>
      </c>
      <c r="F22" s="5">
        <v>50</v>
      </c>
      <c r="G22" s="5">
        <f>ROUND(F22/100*C22,2)</f>
        <v>212.24</v>
      </c>
      <c r="H22" s="19">
        <v>0</v>
      </c>
      <c r="I22" s="5">
        <v>0</v>
      </c>
      <c r="J22" s="5">
        <v>0</v>
      </c>
      <c r="K22" s="19">
        <f>I22+G22+E22+C22</f>
        <v>721.6</v>
      </c>
      <c r="L22" s="19">
        <v>332.64</v>
      </c>
      <c r="M22" s="5">
        <v>20</v>
      </c>
      <c r="N22" s="5">
        <f>ROUND(M22/100*198,2)</f>
        <v>39.6</v>
      </c>
      <c r="O22" s="5">
        <v>50</v>
      </c>
      <c r="P22" s="5">
        <f>ROUND(O22/100*L22,2)</f>
        <v>166.32</v>
      </c>
      <c r="Q22" s="5">
        <v>30</v>
      </c>
      <c r="R22" s="5">
        <f>ROUND(Q22/100*L22,2)</f>
        <v>99.79</v>
      </c>
      <c r="S22" s="5">
        <v>0</v>
      </c>
      <c r="T22" s="5">
        <v>0</v>
      </c>
      <c r="U22" s="5">
        <f>P22+N22+L22+R22</f>
        <v>638.34999999999991</v>
      </c>
      <c r="V22" s="57">
        <f>K22-U22</f>
        <v>83.250000000000114</v>
      </c>
      <c r="W22" s="54">
        <f>V22/U22*100</f>
        <v>13.041434949479145</v>
      </c>
    </row>
    <row r="23" spans="1:23" x14ac:dyDescent="0.25">
      <c r="A23" s="4" t="s">
        <v>2</v>
      </c>
      <c r="B23" s="4" t="s">
        <v>19</v>
      </c>
      <c r="C23" s="7">
        <v>452.24</v>
      </c>
      <c r="D23" s="5">
        <v>20</v>
      </c>
      <c r="E23" s="5">
        <f>ROUND(D23/100*C23,2)</f>
        <v>90.45</v>
      </c>
      <c r="F23" s="5">
        <v>50</v>
      </c>
      <c r="G23" s="5">
        <f>ROUND(F23/100*C23,2)</f>
        <v>226.12</v>
      </c>
      <c r="H23" s="19">
        <v>0</v>
      </c>
      <c r="I23" s="5">
        <v>0</v>
      </c>
      <c r="J23" s="5">
        <v>0</v>
      </c>
      <c r="K23" s="19">
        <f>I23+G23+E23+C23</f>
        <v>768.81</v>
      </c>
      <c r="L23" s="19">
        <v>354.42</v>
      </c>
      <c r="M23" s="5">
        <v>20</v>
      </c>
      <c r="N23" s="5">
        <f>ROUND(M23/100*198,2)</f>
        <v>39.6</v>
      </c>
      <c r="O23" s="5">
        <v>50</v>
      </c>
      <c r="P23" s="5">
        <f>ROUND(O23/100*L23,2)</f>
        <v>177.21</v>
      </c>
      <c r="Q23" s="5">
        <v>30</v>
      </c>
      <c r="R23" s="5">
        <f>ROUND(Q23/100*L23,2)</f>
        <v>106.33</v>
      </c>
      <c r="S23" s="5">
        <v>0</v>
      </c>
      <c r="T23" s="5">
        <v>0</v>
      </c>
      <c r="U23" s="5">
        <f>P23+N23+L23+R23</f>
        <v>677.56000000000006</v>
      </c>
      <c r="V23" s="5">
        <f t="shared" ref="V23:V24" si="0">K23-U23</f>
        <v>91.249999999999886</v>
      </c>
      <c r="W23" s="54">
        <f t="shared" ref="W23:W25" si="1">V23/U23*100</f>
        <v>13.467441997756637</v>
      </c>
    </row>
    <row r="24" spans="1:23" x14ac:dyDescent="0.25">
      <c r="A24" s="4" t="s">
        <v>12</v>
      </c>
      <c r="B24" s="4" t="s">
        <v>20</v>
      </c>
      <c r="C24" s="7">
        <v>468.11</v>
      </c>
      <c r="D24" s="5">
        <v>20</v>
      </c>
      <c r="E24" s="5">
        <f>ROUND(D24/100*C24,2)</f>
        <v>93.62</v>
      </c>
      <c r="F24" s="5">
        <v>50</v>
      </c>
      <c r="G24" s="5">
        <f>ROUND(F24/100*C24,2)</f>
        <v>234.06</v>
      </c>
      <c r="H24" s="19">
        <v>40</v>
      </c>
      <c r="I24" s="5">
        <f>ROUND(H24/100*C24,2)</f>
        <v>187.24</v>
      </c>
      <c r="J24" s="5">
        <v>103.42</v>
      </c>
      <c r="K24" s="20">
        <f>I24+G24+E24+C24+J24</f>
        <v>1086.45</v>
      </c>
      <c r="L24" s="19">
        <v>378.18</v>
      </c>
      <c r="M24" s="5">
        <v>20</v>
      </c>
      <c r="N24" s="5">
        <f>ROUND(M24/100*198,2)</f>
        <v>39.6</v>
      </c>
      <c r="O24" s="5">
        <v>50</v>
      </c>
      <c r="P24" s="5">
        <f>ROUND(O24/100*L24,2)</f>
        <v>189.09</v>
      </c>
      <c r="Q24" s="5">
        <v>30</v>
      </c>
      <c r="R24" s="5">
        <f>ROUND(Q24/100*L24,2)</f>
        <v>113.45</v>
      </c>
      <c r="S24" s="5">
        <v>91.08</v>
      </c>
      <c r="T24" s="5">
        <v>182.16</v>
      </c>
      <c r="U24" s="8">
        <f>P24+N24+L24+R24+S24+T24</f>
        <v>993.56000000000006</v>
      </c>
      <c r="V24" s="5">
        <f t="shared" si="0"/>
        <v>92.889999999999986</v>
      </c>
      <c r="W24" s="54">
        <f t="shared" si="1"/>
        <v>9.349208905350455</v>
      </c>
    </row>
    <row r="25" spans="1:23" x14ac:dyDescent="0.25">
      <c r="A25" s="4" t="s">
        <v>24</v>
      </c>
      <c r="B25" s="4" t="s">
        <v>58</v>
      </c>
      <c r="C25" s="7">
        <v>476.04</v>
      </c>
      <c r="D25" s="5">
        <v>20</v>
      </c>
      <c r="E25" s="5">
        <f>ROUND(D25/100*C25,2)</f>
        <v>95.21</v>
      </c>
      <c r="F25" s="5">
        <v>50</v>
      </c>
      <c r="G25" s="5">
        <f>ROUND(F25/100*C25,2)</f>
        <v>238.02</v>
      </c>
      <c r="H25" s="19">
        <v>60</v>
      </c>
      <c r="I25" s="5">
        <f>ROUND(H25/100*C25,2)</f>
        <v>285.62</v>
      </c>
      <c r="J25" s="5">
        <v>241.3</v>
      </c>
      <c r="K25" s="20">
        <f>I25+G25+E25+C25+J25</f>
        <v>1336.19</v>
      </c>
      <c r="L25" s="19">
        <v>401.93999999999994</v>
      </c>
      <c r="M25" s="5">
        <v>20</v>
      </c>
      <c r="N25" s="5">
        <f>ROUND(M25/100*198,2)</f>
        <v>39.6</v>
      </c>
      <c r="O25" s="5">
        <v>50</v>
      </c>
      <c r="P25" s="5">
        <f>ROUND(O25/100*L25,2)</f>
        <v>200.97</v>
      </c>
      <c r="Q25" s="5">
        <v>30</v>
      </c>
      <c r="R25" s="5">
        <f>ROUND(Q25/100*L25,2)</f>
        <v>120.58</v>
      </c>
      <c r="S25" s="5">
        <v>182.16</v>
      </c>
      <c r="T25" s="5">
        <v>271.26000000000005</v>
      </c>
      <c r="U25" s="8">
        <f>P25+N25+L25+R25+S25+T25</f>
        <v>1216.51</v>
      </c>
      <c r="V25" s="5">
        <f t="shared" ref="V25" si="2">K25-U25</f>
        <v>119.68000000000006</v>
      </c>
      <c r="W25" s="54">
        <f t="shared" si="1"/>
        <v>9.8379791370395697</v>
      </c>
    </row>
    <row r="27" spans="1:23" x14ac:dyDescent="0.25">
      <c r="A27" s="50" t="s">
        <v>52</v>
      </c>
    </row>
    <row r="28" spans="1:23" ht="15" customHeight="1" x14ac:dyDescent="0.25">
      <c r="A28" s="72" t="s">
        <v>61</v>
      </c>
      <c r="B28" s="73"/>
      <c r="C28" s="73"/>
      <c r="D28" s="73"/>
      <c r="E28" s="73"/>
      <c r="F28" s="73"/>
      <c r="G28" s="73"/>
      <c r="H28" s="73"/>
      <c r="I28" s="73"/>
      <c r="J28" s="73"/>
      <c r="K28" s="74"/>
      <c r="L28" s="69" t="s">
        <v>8</v>
      </c>
      <c r="M28" s="70"/>
      <c r="N28" s="70"/>
      <c r="O28" s="70"/>
      <c r="P28" s="70"/>
      <c r="Q28" s="70"/>
      <c r="R28" s="70"/>
      <c r="S28" s="70"/>
      <c r="T28" s="70"/>
      <c r="U28" s="71"/>
      <c r="V28" s="85" t="s">
        <v>10</v>
      </c>
      <c r="W28" s="85"/>
    </row>
    <row r="29" spans="1:23" ht="40.5" customHeight="1" x14ac:dyDescent="0.25">
      <c r="A29" s="78" t="s">
        <v>1</v>
      </c>
      <c r="B29" s="78" t="s">
        <v>62</v>
      </c>
      <c r="C29" s="78" t="s">
        <v>3</v>
      </c>
      <c r="D29" s="69" t="s">
        <v>4</v>
      </c>
      <c r="E29" s="71"/>
      <c r="F29" s="69" t="s">
        <v>63</v>
      </c>
      <c r="G29" s="71"/>
      <c r="H29" s="69" t="s">
        <v>18</v>
      </c>
      <c r="I29" s="71"/>
      <c r="J29" s="21" t="s">
        <v>21</v>
      </c>
      <c r="K29" s="75" t="s">
        <v>7</v>
      </c>
      <c r="L29" s="77" t="s">
        <v>9</v>
      </c>
      <c r="M29" s="69" t="s">
        <v>4</v>
      </c>
      <c r="N29" s="71"/>
      <c r="O29" s="69" t="s">
        <v>63</v>
      </c>
      <c r="P29" s="71"/>
      <c r="Q29" s="69" t="s">
        <v>14</v>
      </c>
      <c r="R29" s="71"/>
      <c r="S29" s="77" t="s">
        <v>22</v>
      </c>
      <c r="T29" s="77" t="s">
        <v>23</v>
      </c>
      <c r="U29" s="77" t="s">
        <v>7</v>
      </c>
      <c r="V29" s="85"/>
      <c r="W29" s="85"/>
    </row>
    <row r="30" spans="1:23" ht="36.75" customHeight="1" x14ac:dyDescent="0.25">
      <c r="A30" s="79"/>
      <c r="B30" s="79"/>
      <c r="C30" s="79"/>
      <c r="D30" s="10" t="s">
        <v>5</v>
      </c>
      <c r="E30" s="3" t="s">
        <v>6</v>
      </c>
      <c r="F30" s="10" t="s">
        <v>5</v>
      </c>
      <c r="G30" s="22" t="s">
        <v>6</v>
      </c>
      <c r="H30" s="10" t="s">
        <v>5</v>
      </c>
      <c r="I30" s="3" t="s">
        <v>6</v>
      </c>
      <c r="J30" s="30"/>
      <c r="K30" s="76"/>
      <c r="L30" s="76"/>
      <c r="M30" s="10" t="s">
        <v>5</v>
      </c>
      <c r="N30" s="3" t="s">
        <v>6</v>
      </c>
      <c r="O30" s="10" t="s">
        <v>5</v>
      </c>
      <c r="P30" s="3" t="s">
        <v>6</v>
      </c>
      <c r="Q30" s="10" t="s">
        <v>5</v>
      </c>
      <c r="R30" s="3" t="s">
        <v>6</v>
      </c>
      <c r="S30" s="76"/>
      <c r="T30" s="76"/>
      <c r="U30" s="76"/>
      <c r="V30" s="41" t="s">
        <v>6</v>
      </c>
      <c r="W30" s="56" t="s">
        <v>5</v>
      </c>
    </row>
    <row r="31" spans="1:23" x14ac:dyDescent="0.25">
      <c r="A31" s="4" t="s">
        <v>16</v>
      </c>
      <c r="B31" s="4" t="s">
        <v>17</v>
      </c>
      <c r="C31" s="36">
        <f>ROUND(424.47/S2,2)</f>
        <v>12313.47</v>
      </c>
      <c r="D31" s="5">
        <v>20</v>
      </c>
      <c r="E31" s="8">
        <f>ROUND(D31/100*C31,2)</f>
        <v>2462.69</v>
      </c>
      <c r="F31" s="5">
        <v>50</v>
      </c>
      <c r="G31" s="20">
        <f>ROUND(F31/100*C31,2)</f>
        <v>6156.74</v>
      </c>
      <c r="H31" s="5">
        <v>0</v>
      </c>
      <c r="I31" s="5">
        <v>0</v>
      </c>
      <c r="J31" s="19">
        <v>0</v>
      </c>
      <c r="K31" s="20">
        <f>I31+G31+E31+C31</f>
        <v>20932.900000000001</v>
      </c>
      <c r="L31" s="8">
        <f>ROUND(L22/$S$2,2)</f>
        <v>9649.57</v>
      </c>
      <c r="M31" s="5">
        <v>20</v>
      </c>
      <c r="N31" s="8">
        <f>ROUND(M31/100*198/$S$2,2)</f>
        <v>1148.76</v>
      </c>
      <c r="O31" s="5">
        <v>50</v>
      </c>
      <c r="P31" s="8">
        <f>ROUND(O31/100*L31,2)</f>
        <v>4824.79</v>
      </c>
      <c r="Q31" s="5">
        <v>30</v>
      </c>
      <c r="R31" s="8">
        <f>ROUND(Q31/100*L31,2)</f>
        <v>2894.87</v>
      </c>
      <c r="S31" s="5"/>
      <c r="T31" s="5"/>
      <c r="U31" s="8">
        <f>P31+N31+L31+R31</f>
        <v>18517.989999999998</v>
      </c>
      <c r="V31" s="32">
        <f>K31-U31</f>
        <v>2414.9100000000035</v>
      </c>
      <c r="W31" s="55">
        <f>V31/U31*100</f>
        <v>13.040886186891795</v>
      </c>
    </row>
    <row r="32" spans="1:23" x14ac:dyDescent="0.25">
      <c r="A32" s="4" t="s">
        <v>2</v>
      </c>
      <c r="B32" s="4" t="s">
        <v>19</v>
      </c>
      <c r="C32" s="36">
        <f>ROUND(452.24/S2,2)</f>
        <v>13119.05</v>
      </c>
      <c r="D32" s="5">
        <v>20</v>
      </c>
      <c r="E32" s="8">
        <f>ROUND(D32/100*C32,2)</f>
        <v>2623.81</v>
      </c>
      <c r="F32" s="5">
        <v>50</v>
      </c>
      <c r="G32" s="20">
        <f>ROUND(F32/100*C32,2)</f>
        <v>6559.53</v>
      </c>
      <c r="H32" s="5">
        <v>0</v>
      </c>
      <c r="I32" s="5">
        <v>0</v>
      </c>
      <c r="J32" s="19">
        <v>0</v>
      </c>
      <c r="K32" s="20">
        <f>I32+G32+E32+C32</f>
        <v>22302.39</v>
      </c>
      <c r="L32" s="8">
        <f>ROUND(L23/$S$2,2)</f>
        <v>10281.39</v>
      </c>
      <c r="M32" s="5">
        <v>20</v>
      </c>
      <c r="N32" s="8">
        <f>ROUND(M32/100*198/$S$2,2)</f>
        <v>1148.76</v>
      </c>
      <c r="O32" s="5">
        <v>50</v>
      </c>
      <c r="P32" s="8">
        <f t="shared" ref="P32:P34" si="3">ROUND(O32/100*L32,2)</f>
        <v>5140.7</v>
      </c>
      <c r="Q32" s="5">
        <v>30</v>
      </c>
      <c r="R32" s="8">
        <f t="shared" ref="R32:R34" si="4">ROUND(Q32/100*L32,2)</f>
        <v>3084.42</v>
      </c>
      <c r="S32" s="5"/>
      <c r="T32" s="5"/>
      <c r="U32" s="8">
        <f>P32+N32+L32+R32</f>
        <v>19655.269999999997</v>
      </c>
      <c r="V32" s="32">
        <f t="shared" ref="V32:V34" si="5">K32-U32</f>
        <v>2647.1200000000026</v>
      </c>
      <c r="W32" s="55">
        <f t="shared" ref="W32:W34" si="6">V32/U32*100</f>
        <v>13.467736642640896</v>
      </c>
    </row>
    <row r="33" spans="1:23" x14ac:dyDescent="0.25">
      <c r="A33" s="4" t="s">
        <v>12</v>
      </c>
      <c r="B33" s="4" t="s">
        <v>20</v>
      </c>
      <c r="C33" s="36">
        <f>ROUND(468.11/S2,2)</f>
        <v>13579.43</v>
      </c>
      <c r="D33" s="5">
        <v>20</v>
      </c>
      <c r="E33" s="8">
        <f>ROUND(D33/100*C33,2)</f>
        <v>2715.89</v>
      </c>
      <c r="F33" s="5">
        <v>50</v>
      </c>
      <c r="G33" s="20">
        <f>ROUND(F33/100*C33,2)</f>
        <v>6789.72</v>
      </c>
      <c r="H33" s="5">
        <v>40</v>
      </c>
      <c r="I33" s="8">
        <f>ROUND(H33/100*C33,2)</f>
        <v>5431.77</v>
      </c>
      <c r="J33" s="20">
        <f>3000</f>
        <v>3000</v>
      </c>
      <c r="K33" s="20">
        <f>I33+G33+E33+C33+J33</f>
        <v>31516.81</v>
      </c>
      <c r="L33" s="8">
        <f>ROUND(L24/$S$2,2)</f>
        <v>10970.64</v>
      </c>
      <c r="M33" s="5">
        <v>20</v>
      </c>
      <c r="N33" s="8">
        <f>ROUND(M33/100*198/$S$2,2)</f>
        <v>1148.76</v>
      </c>
      <c r="O33" s="5">
        <v>50</v>
      </c>
      <c r="P33" s="8">
        <f t="shared" si="3"/>
        <v>5485.32</v>
      </c>
      <c r="Q33" s="5">
        <v>30</v>
      </c>
      <c r="R33" s="8">
        <f t="shared" si="4"/>
        <v>3291.19</v>
      </c>
      <c r="S33" s="8">
        <f>ROUND(91.08/$S$2,2)</f>
        <v>2642.14</v>
      </c>
      <c r="T33" s="8">
        <f>ROUND(182.16/S2,2)</f>
        <v>5284.29</v>
      </c>
      <c r="U33" s="8">
        <f>P33+N33+L33+R33+S33+T33</f>
        <v>28822.34</v>
      </c>
      <c r="V33" s="32">
        <f t="shared" si="5"/>
        <v>2694.4700000000012</v>
      </c>
      <c r="W33" s="55">
        <f t="shared" si="6"/>
        <v>9.3485469951433551</v>
      </c>
    </row>
    <row r="34" spans="1:23" x14ac:dyDescent="0.25">
      <c r="A34" s="4" t="s">
        <v>24</v>
      </c>
      <c r="B34" s="4" t="s">
        <v>58</v>
      </c>
      <c r="C34" s="36">
        <f>ROUND(476.04/S2,2)</f>
        <v>13809.47</v>
      </c>
      <c r="D34" s="5">
        <v>20</v>
      </c>
      <c r="E34" s="8">
        <f>ROUND(D34/100*C34,2)</f>
        <v>2761.89</v>
      </c>
      <c r="F34" s="5">
        <v>50</v>
      </c>
      <c r="G34" s="20">
        <f>ROUND(F34/100*C34,2)</f>
        <v>6904.74</v>
      </c>
      <c r="H34" s="5">
        <v>60</v>
      </c>
      <c r="I34" s="8">
        <f>ROUND(H34/100*C34,2)</f>
        <v>8285.68</v>
      </c>
      <c r="J34" s="20">
        <v>7000</v>
      </c>
      <c r="K34" s="20">
        <f>I34+G34+E34+C34+J34</f>
        <v>38761.78</v>
      </c>
      <c r="L34" s="8">
        <f>ROUND(L25/$S$2,2)</f>
        <v>11659.9</v>
      </c>
      <c r="M34" s="5">
        <v>20</v>
      </c>
      <c r="N34" s="8">
        <f>ROUND(M34/100*198/$S$2,2)</f>
        <v>1148.76</v>
      </c>
      <c r="O34" s="5">
        <v>50</v>
      </c>
      <c r="P34" s="8">
        <f t="shared" si="3"/>
        <v>5829.95</v>
      </c>
      <c r="Q34" s="5">
        <v>30</v>
      </c>
      <c r="R34" s="8">
        <f t="shared" si="4"/>
        <v>3497.97</v>
      </c>
      <c r="S34" s="8">
        <f>ROUND(182.16/S2,2)</f>
        <v>5284.29</v>
      </c>
      <c r="T34" s="5">
        <f>ROUND(271.26/S2,2)</f>
        <v>7869</v>
      </c>
      <c r="U34" s="8">
        <f>P34+N34+L34+R34+S34+T34</f>
        <v>35289.870000000003</v>
      </c>
      <c r="V34" s="32">
        <f t="shared" si="5"/>
        <v>3471.9099999999962</v>
      </c>
      <c r="W34" s="55">
        <f t="shared" si="6"/>
        <v>9.8382623682093353</v>
      </c>
    </row>
  </sheetData>
  <mergeCells count="65">
    <mergeCell ref="U20:U21"/>
    <mergeCell ref="S20:S21"/>
    <mergeCell ref="T20:T21"/>
    <mergeCell ref="S29:S30"/>
    <mergeCell ref="T29:T30"/>
    <mergeCell ref="U29:U30"/>
    <mergeCell ref="V28:W29"/>
    <mergeCell ref="V19:W20"/>
    <mergeCell ref="A5:A6"/>
    <mergeCell ref="D5:E5"/>
    <mergeCell ref="F5:G5"/>
    <mergeCell ref="H5:H6"/>
    <mergeCell ref="J5:K5"/>
    <mergeCell ref="L5:M5"/>
    <mergeCell ref="Q20:R20"/>
    <mergeCell ref="Q11:R11"/>
    <mergeCell ref="R12:R13"/>
    <mergeCell ref="Q12:Q13"/>
    <mergeCell ref="Q4:R5"/>
    <mergeCell ref="F29:G29"/>
    <mergeCell ref="A12:A13"/>
    <mergeCell ref="B12:B13"/>
    <mergeCell ref="A4:H4"/>
    <mergeCell ref="C5:C6"/>
    <mergeCell ref="B5:B6"/>
    <mergeCell ref="F20:G20"/>
    <mergeCell ref="I5:I6"/>
    <mergeCell ref="I4:P4"/>
    <mergeCell ref="P12:P13"/>
    <mergeCell ref="H12:H13"/>
    <mergeCell ref="I12:I13"/>
    <mergeCell ref="J12:K12"/>
    <mergeCell ref="L12:M12"/>
    <mergeCell ref="H20:I20"/>
    <mergeCell ref="K20:K21"/>
    <mergeCell ref="N5:O5"/>
    <mergeCell ref="P5:P6"/>
    <mergeCell ref="N12:O12"/>
    <mergeCell ref="Q29:R29"/>
    <mergeCell ref="L20:L21"/>
    <mergeCell ref="C12:C13"/>
    <mergeCell ref="D12:E12"/>
    <mergeCell ref="F12:G12"/>
    <mergeCell ref="J20:J21"/>
    <mergeCell ref="A19:K19"/>
    <mergeCell ref="A20:A21"/>
    <mergeCell ref="B20:B21"/>
    <mergeCell ref="C20:C21"/>
    <mergeCell ref="D20:E20"/>
    <mergeCell ref="A11:H11"/>
    <mergeCell ref="I11:P11"/>
    <mergeCell ref="L28:U28"/>
    <mergeCell ref="A28:K28"/>
    <mergeCell ref="H29:I29"/>
    <mergeCell ref="K29:K30"/>
    <mergeCell ref="L29:L30"/>
    <mergeCell ref="M29:N29"/>
    <mergeCell ref="O29:P29"/>
    <mergeCell ref="C29:C30"/>
    <mergeCell ref="B29:B30"/>
    <mergeCell ref="A29:A30"/>
    <mergeCell ref="D29:E29"/>
    <mergeCell ref="L19:U19"/>
    <mergeCell ref="M20:N20"/>
    <mergeCell ref="O20:P20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Zeros="0" tabSelected="1" topLeftCell="A31" workbookViewId="0">
      <selection activeCell="D46" sqref="D46"/>
    </sheetView>
  </sheetViews>
  <sheetFormatPr defaultColWidth="9.109375" defaultRowHeight="13.8" x14ac:dyDescent="0.25"/>
  <cols>
    <col min="1" max="1" width="29" style="1" bestFit="1" customWidth="1"/>
    <col min="2" max="2" width="30.88671875" style="1" customWidth="1"/>
    <col min="3" max="3" width="13.109375" style="1" customWidth="1"/>
    <col min="4" max="4" width="14" style="1" customWidth="1"/>
    <col min="5" max="5" width="12.44140625" style="1" customWidth="1"/>
    <col min="6" max="6" width="7.44140625" style="1" customWidth="1"/>
    <col min="7" max="7" width="11" style="1" customWidth="1"/>
    <col min="8" max="8" width="18.88671875" style="18" customWidth="1"/>
    <col min="9" max="9" width="10.44140625" style="1" customWidth="1"/>
    <col min="10" max="10" width="12.44140625" style="1" customWidth="1"/>
    <col min="11" max="11" width="17.5546875" style="1" customWidth="1"/>
    <col min="12" max="12" width="18.6640625" style="1" customWidth="1"/>
    <col min="13" max="13" width="11.5546875" style="1" customWidth="1"/>
    <col min="14" max="14" width="24" style="1" customWidth="1"/>
    <col min="15" max="16" width="11" style="1" customWidth="1"/>
    <col min="17" max="17" width="7.5546875" style="1" customWidth="1"/>
    <col min="18" max="20" width="13.44140625" style="1" customWidth="1"/>
    <col min="21" max="21" width="17.109375" style="1" customWidth="1"/>
    <col min="22" max="22" width="13.6640625" style="1" customWidth="1"/>
    <col min="23" max="23" width="12.44140625" style="1" customWidth="1"/>
    <col min="24" max="16384" width="9.109375" style="1"/>
  </cols>
  <sheetData>
    <row r="1" spans="1:20" ht="14.4" x14ac:dyDescent="0.3">
      <c r="A1" s="6" t="s">
        <v>25</v>
      </c>
      <c r="N1" s="89" t="s">
        <v>53</v>
      </c>
      <c r="O1" s="90"/>
      <c r="P1" s="44">
        <f>0.034472</f>
        <v>3.4472000000000003E-2</v>
      </c>
    </row>
    <row r="2" spans="1:20" ht="14.4" x14ac:dyDescent="0.3">
      <c r="A2" s="31" t="s">
        <v>51</v>
      </c>
      <c r="T2" s="6"/>
    </row>
    <row r="3" spans="1:20" ht="15" customHeight="1" x14ac:dyDescent="0.3">
      <c r="A3" s="81" t="s">
        <v>61</v>
      </c>
      <c r="B3" s="82"/>
      <c r="C3" s="82"/>
      <c r="D3" s="82"/>
      <c r="E3" s="82"/>
      <c r="F3" s="82"/>
      <c r="G3" s="82"/>
      <c r="H3" s="82"/>
      <c r="I3" s="81" t="s">
        <v>8</v>
      </c>
      <c r="J3" s="81"/>
      <c r="K3" s="81"/>
      <c r="L3" s="81"/>
      <c r="M3" s="81"/>
      <c r="N3" s="81"/>
      <c r="O3" s="78" t="s">
        <v>10</v>
      </c>
      <c r="P3" s="78"/>
    </row>
    <row r="4" spans="1:20" ht="54" customHeight="1" x14ac:dyDescent="0.3">
      <c r="A4" s="78" t="s">
        <v>1</v>
      </c>
      <c r="B4" s="78" t="s">
        <v>62</v>
      </c>
      <c r="C4" s="78" t="s">
        <v>3</v>
      </c>
      <c r="D4" s="78" t="s">
        <v>4</v>
      </c>
      <c r="E4" s="68"/>
      <c r="F4" s="78" t="s">
        <v>63</v>
      </c>
      <c r="G4" s="68"/>
      <c r="H4" s="83" t="s">
        <v>7</v>
      </c>
      <c r="I4" s="78" t="s">
        <v>9</v>
      </c>
      <c r="J4" s="78" t="s">
        <v>4</v>
      </c>
      <c r="K4" s="68"/>
      <c r="L4" s="78" t="s">
        <v>63</v>
      </c>
      <c r="M4" s="68"/>
      <c r="N4" s="78" t="s">
        <v>7</v>
      </c>
      <c r="O4" s="78"/>
      <c r="P4" s="78"/>
    </row>
    <row r="5" spans="1:20" ht="30" customHeight="1" x14ac:dyDescent="0.25">
      <c r="A5" s="79"/>
      <c r="B5" s="79"/>
      <c r="C5" s="79"/>
      <c r="D5" s="9" t="s">
        <v>5</v>
      </c>
      <c r="E5" s="3" t="s">
        <v>6</v>
      </c>
      <c r="F5" s="9" t="s">
        <v>5</v>
      </c>
      <c r="G5" s="3" t="s">
        <v>6</v>
      </c>
      <c r="H5" s="84"/>
      <c r="I5" s="79"/>
      <c r="J5" s="9" t="s">
        <v>5</v>
      </c>
      <c r="K5" s="3" t="s">
        <v>6</v>
      </c>
      <c r="L5" s="9" t="s">
        <v>5</v>
      </c>
      <c r="M5" s="3" t="s">
        <v>6</v>
      </c>
      <c r="N5" s="78"/>
      <c r="O5" s="38" t="s">
        <v>6</v>
      </c>
      <c r="P5" s="3" t="s">
        <v>5</v>
      </c>
    </row>
    <row r="6" spans="1:20" x14ac:dyDescent="0.25">
      <c r="A6" s="4" t="s">
        <v>16</v>
      </c>
      <c r="B6" s="4" t="s">
        <v>26</v>
      </c>
      <c r="C6" s="8">
        <f>7910*P1</f>
        <v>272.67352</v>
      </c>
      <c r="D6" s="8">
        <v>20</v>
      </c>
      <c r="E6" s="8">
        <f>ROUND(D6/100*C6,2)</f>
        <v>54.53</v>
      </c>
      <c r="F6" s="8">
        <v>50</v>
      </c>
      <c r="G6" s="8">
        <f>ROUND(F6/100*C6,2)</f>
        <v>136.34</v>
      </c>
      <c r="H6" s="20">
        <f>G6+E6+C6</f>
        <v>463.54352</v>
      </c>
      <c r="I6" s="5">
        <v>225.72</v>
      </c>
      <c r="J6" s="5">
        <v>20</v>
      </c>
      <c r="K6" s="5">
        <f>ROUND(J6/100*198,2)</f>
        <v>39.6</v>
      </c>
      <c r="L6" s="5">
        <v>50</v>
      </c>
      <c r="M6" s="5">
        <f>ROUND(L6/100*I6,2)</f>
        <v>112.86</v>
      </c>
      <c r="N6" s="5">
        <f>M6+K6+I6</f>
        <v>378.18</v>
      </c>
      <c r="O6" s="11">
        <f>H6-N6</f>
        <v>85.363519999999994</v>
      </c>
      <c r="P6" s="43">
        <f>O6/N6*100</f>
        <v>22.57219313554392</v>
      </c>
    </row>
    <row r="7" spans="1:20" x14ac:dyDescent="0.25">
      <c r="A7" s="4" t="s">
        <v>2</v>
      </c>
      <c r="B7" s="4" t="s">
        <v>27</v>
      </c>
      <c r="C7" s="8">
        <f>8384.6*P1</f>
        <v>289.03393120000004</v>
      </c>
      <c r="D7" s="8">
        <v>20</v>
      </c>
      <c r="E7" s="8">
        <f>ROUND(D7/100*C7,2)</f>
        <v>57.81</v>
      </c>
      <c r="F7" s="8">
        <v>50</v>
      </c>
      <c r="G7" s="8">
        <f>ROUND(F7/100*C7,2)</f>
        <v>144.52000000000001</v>
      </c>
      <c r="H7" s="20">
        <f>G7+E7+C7</f>
        <v>491.36393120000002</v>
      </c>
      <c r="I7" s="5">
        <v>239.58</v>
      </c>
      <c r="J7" s="5">
        <v>20</v>
      </c>
      <c r="K7" s="5">
        <f>ROUND(J7/100*198,2)</f>
        <v>39.6</v>
      </c>
      <c r="L7" s="5">
        <v>50</v>
      </c>
      <c r="M7" s="5">
        <f>ROUND(L7/100*I7,2)</f>
        <v>119.79</v>
      </c>
      <c r="N7" s="5">
        <f>M7+K7+I7</f>
        <v>398.97</v>
      </c>
      <c r="O7" s="11">
        <f>H7-N7</f>
        <v>92.393931199999997</v>
      </c>
      <c r="P7" s="43">
        <f t="shared" ref="P7:P22" si="0">O7/N7*100</f>
        <v>23.158114945985911</v>
      </c>
    </row>
    <row r="8" spans="1:20" ht="6.75" customHeight="1" x14ac:dyDescent="0.25">
      <c r="A8" s="12"/>
      <c r="B8" s="12"/>
      <c r="C8" s="23"/>
      <c r="D8" s="16"/>
      <c r="E8" s="16"/>
      <c r="F8" s="16"/>
      <c r="G8" s="16"/>
      <c r="H8" s="28"/>
      <c r="I8" s="16"/>
      <c r="J8" s="16"/>
      <c r="K8" s="16"/>
      <c r="L8" s="16"/>
      <c r="M8" s="16"/>
      <c r="N8" s="16"/>
      <c r="O8" s="23"/>
      <c r="P8" s="33"/>
    </row>
    <row r="9" spans="1:20" x14ac:dyDescent="0.25">
      <c r="A9" s="50" t="s">
        <v>52</v>
      </c>
      <c r="B9" s="12"/>
      <c r="C9" s="23"/>
      <c r="D9" s="16"/>
      <c r="E9" s="16"/>
      <c r="F9" s="16"/>
      <c r="G9" s="16"/>
      <c r="H9" s="28"/>
      <c r="I9" s="16"/>
      <c r="J9" s="16"/>
      <c r="K9" s="16"/>
      <c r="L9" s="16"/>
      <c r="M9" s="16"/>
      <c r="N9" s="16"/>
      <c r="O9" s="23"/>
      <c r="P9" s="33"/>
    </row>
    <row r="10" spans="1:20" ht="14.4" x14ac:dyDescent="0.3">
      <c r="A10" s="65" t="s">
        <v>61</v>
      </c>
      <c r="B10" s="66"/>
      <c r="C10" s="66"/>
      <c r="D10" s="66"/>
      <c r="E10" s="66"/>
      <c r="F10" s="66"/>
      <c r="G10" s="66"/>
      <c r="H10" s="66"/>
      <c r="I10" s="81" t="s">
        <v>8</v>
      </c>
      <c r="J10" s="81"/>
      <c r="K10" s="81"/>
      <c r="L10" s="81"/>
      <c r="M10" s="81"/>
      <c r="N10" s="81"/>
      <c r="O10" s="85" t="s">
        <v>10</v>
      </c>
      <c r="P10" s="85"/>
    </row>
    <row r="11" spans="1:20" ht="26.25" customHeight="1" x14ac:dyDescent="0.3">
      <c r="A11" s="78" t="s">
        <v>1</v>
      </c>
      <c r="B11" s="78" t="s">
        <v>62</v>
      </c>
      <c r="C11" s="78" t="s">
        <v>3</v>
      </c>
      <c r="D11" s="78" t="s">
        <v>4</v>
      </c>
      <c r="E11" s="68"/>
      <c r="F11" s="78" t="s">
        <v>63</v>
      </c>
      <c r="G11" s="68"/>
      <c r="H11" s="83" t="s">
        <v>7</v>
      </c>
      <c r="I11" s="78" t="s">
        <v>9</v>
      </c>
      <c r="J11" s="78" t="s">
        <v>4</v>
      </c>
      <c r="K11" s="68"/>
      <c r="L11" s="78" t="s">
        <v>63</v>
      </c>
      <c r="M11" s="68"/>
      <c r="N11" s="78" t="s">
        <v>7</v>
      </c>
      <c r="O11" s="85"/>
      <c r="P11" s="85"/>
    </row>
    <row r="12" spans="1:20" ht="50.25" customHeight="1" x14ac:dyDescent="0.25">
      <c r="A12" s="79"/>
      <c r="B12" s="79"/>
      <c r="C12" s="79"/>
      <c r="D12" s="10" t="s">
        <v>5</v>
      </c>
      <c r="E12" s="3" t="s">
        <v>6</v>
      </c>
      <c r="F12" s="10" t="s">
        <v>5</v>
      </c>
      <c r="G12" s="3" t="s">
        <v>6</v>
      </c>
      <c r="H12" s="84"/>
      <c r="I12" s="79"/>
      <c r="J12" s="10" t="s">
        <v>5</v>
      </c>
      <c r="K12" s="3" t="s">
        <v>6</v>
      </c>
      <c r="L12" s="10" t="s">
        <v>5</v>
      </c>
      <c r="M12" s="3" t="s">
        <v>6</v>
      </c>
      <c r="N12" s="78"/>
      <c r="O12" s="39" t="s">
        <v>6</v>
      </c>
      <c r="P12" s="47" t="s">
        <v>5</v>
      </c>
    </row>
    <row r="13" spans="1:20" x14ac:dyDescent="0.25">
      <c r="A13" s="4" t="s">
        <v>16</v>
      </c>
      <c r="B13" s="4" t="s">
        <v>26</v>
      </c>
      <c r="C13" s="8">
        <v>7910</v>
      </c>
      <c r="D13" s="5">
        <v>20</v>
      </c>
      <c r="E13" s="8">
        <f>ROUND(D13/100*C13,2)</f>
        <v>1582</v>
      </c>
      <c r="F13" s="5">
        <v>50</v>
      </c>
      <c r="G13" s="8">
        <f>ROUND(F13/100*C13,2)</f>
        <v>3955</v>
      </c>
      <c r="H13" s="8">
        <f>G13+E13+C13</f>
        <v>13447</v>
      </c>
      <c r="I13" s="8">
        <f>ROUND(I6/$P$1,2)</f>
        <v>6547.92</v>
      </c>
      <c r="J13" s="5">
        <v>20</v>
      </c>
      <c r="K13" s="8">
        <f>ROUND(J13/100*198/$P$1,2)</f>
        <v>1148.76</v>
      </c>
      <c r="L13" s="5">
        <v>50</v>
      </c>
      <c r="M13" s="8">
        <f>ROUND(L13/100*I13,2)</f>
        <v>3273.96</v>
      </c>
      <c r="N13" s="8">
        <f>M13+K13+I13</f>
        <v>10970.64</v>
      </c>
      <c r="O13" s="32">
        <f>H13-N13</f>
        <v>2476.3600000000006</v>
      </c>
      <c r="P13" s="45">
        <f t="shared" si="0"/>
        <v>22.572611989820107</v>
      </c>
    </row>
    <row r="14" spans="1:20" x14ac:dyDescent="0.25">
      <c r="A14" s="4" t="s">
        <v>2</v>
      </c>
      <c r="B14" s="4" t="s">
        <v>27</v>
      </c>
      <c r="C14" s="8">
        <v>8384.6</v>
      </c>
      <c r="D14" s="5">
        <v>20</v>
      </c>
      <c r="E14" s="8">
        <f>ROUND(D14/100*C14,2)</f>
        <v>1676.92</v>
      </c>
      <c r="F14" s="5">
        <v>50</v>
      </c>
      <c r="G14" s="8">
        <f>ROUND(F14/100*C14,2)</f>
        <v>4192.3</v>
      </c>
      <c r="H14" s="8">
        <f>G14+E14+C14</f>
        <v>14253.82</v>
      </c>
      <c r="I14" s="8">
        <f>ROUND(I7/$P$1,2)</f>
        <v>6949.99</v>
      </c>
      <c r="J14" s="5">
        <v>20</v>
      </c>
      <c r="K14" s="8">
        <f>ROUND(J14/100*198/$P$1,2)</f>
        <v>1148.76</v>
      </c>
      <c r="L14" s="5">
        <v>50</v>
      </c>
      <c r="M14" s="8">
        <f>ROUND(L14/100*I14,2)</f>
        <v>3475</v>
      </c>
      <c r="N14" s="8">
        <f>M14+K14+I14</f>
        <v>11573.75</v>
      </c>
      <c r="O14" s="32">
        <f>H14-N14</f>
        <v>2680.0699999999997</v>
      </c>
      <c r="P14" s="45">
        <f t="shared" si="0"/>
        <v>23.156453180689056</v>
      </c>
    </row>
    <row r="15" spans="1:20" ht="10.5" customHeight="1" x14ac:dyDescent="0.25">
      <c r="P15" s="33"/>
    </row>
    <row r="16" spans="1:20" ht="14.4" x14ac:dyDescent="0.3">
      <c r="A16" s="6" t="s">
        <v>28</v>
      </c>
      <c r="P16" s="33"/>
    </row>
    <row r="17" spans="1:17" x14ac:dyDescent="0.25">
      <c r="A17" s="31" t="s">
        <v>51</v>
      </c>
      <c r="P17" s="33"/>
    </row>
    <row r="18" spans="1:17" ht="15" customHeight="1" x14ac:dyDescent="0.25">
      <c r="A18" s="95" t="s">
        <v>61</v>
      </c>
      <c r="B18" s="96"/>
      <c r="C18" s="96"/>
      <c r="D18" s="96"/>
      <c r="E18" s="96"/>
      <c r="F18" s="96"/>
      <c r="G18" s="96"/>
      <c r="H18" s="97"/>
      <c r="I18" s="78" t="s">
        <v>8</v>
      </c>
      <c r="J18" s="78"/>
      <c r="K18" s="78"/>
      <c r="L18" s="78"/>
      <c r="M18" s="78"/>
      <c r="N18" s="78"/>
      <c r="O18" s="78" t="s">
        <v>10</v>
      </c>
      <c r="P18" s="78"/>
    </row>
    <row r="19" spans="1:17" ht="48.75" customHeight="1" x14ac:dyDescent="0.3">
      <c r="A19" s="78" t="s">
        <v>1</v>
      </c>
      <c r="B19" s="78" t="s">
        <v>62</v>
      </c>
      <c r="C19" s="78" t="s">
        <v>3</v>
      </c>
      <c r="D19" s="78" t="s">
        <v>4</v>
      </c>
      <c r="E19" s="68"/>
      <c r="F19" s="78" t="s">
        <v>63</v>
      </c>
      <c r="G19" s="68"/>
      <c r="H19" s="83" t="s">
        <v>7</v>
      </c>
      <c r="I19" s="77" t="s">
        <v>9</v>
      </c>
      <c r="J19" s="78" t="s">
        <v>4</v>
      </c>
      <c r="K19" s="68"/>
      <c r="L19" s="78" t="s">
        <v>63</v>
      </c>
      <c r="M19" s="68"/>
      <c r="N19" s="78" t="s">
        <v>7</v>
      </c>
      <c r="O19" s="78"/>
      <c r="P19" s="78"/>
    </row>
    <row r="20" spans="1:17" ht="35.25" customHeight="1" x14ac:dyDescent="0.25">
      <c r="A20" s="79"/>
      <c r="B20" s="79"/>
      <c r="C20" s="79"/>
      <c r="D20" s="9" t="s">
        <v>5</v>
      </c>
      <c r="E20" s="3" t="s">
        <v>6</v>
      </c>
      <c r="F20" s="9" t="s">
        <v>5</v>
      </c>
      <c r="G20" s="3" t="s">
        <v>6</v>
      </c>
      <c r="H20" s="84"/>
      <c r="I20" s="94"/>
      <c r="J20" s="9" t="s">
        <v>5</v>
      </c>
      <c r="K20" s="3" t="s">
        <v>6</v>
      </c>
      <c r="L20" s="9" t="s">
        <v>5</v>
      </c>
      <c r="M20" s="3" t="s">
        <v>6</v>
      </c>
      <c r="N20" s="79"/>
      <c r="O20" s="38" t="s">
        <v>6</v>
      </c>
      <c r="P20" s="3" t="s">
        <v>5</v>
      </c>
    </row>
    <row r="21" spans="1:17" x14ac:dyDescent="0.25">
      <c r="A21" s="4" t="s">
        <v>16</v>
      </c>
      <c r="B21" s="4" t="s">
        <v>29</v>
      </c>
      <c r="C21" s="13">
        <f>8386*P1</f>
        <v>289.08219200000002</v>
      </c>
      <c r="D21" s="5">
        <v>20</v>
      </c>
      <c r="E21" s="5">
        <f>ROUND(D21/100*C21,2)</f>
        <v>57.82</v>
      </c>
      <c r="F21" s="5">
        <v>50</v>
      </c>
      <c r="G21" s="5">
        <f>ROUND(F21/100*C21,2)</f>
        <v>144.54</v>
      </c>
      <c r="H21" s="29">
        <f>G21+E21+C21</f>
        <v>491.44219199999998</v>
      </c>
      <c r="I21" s="5">
        <v>239.58</v>
      </c>
      <c r="J21" s="5">
        <v>20</v>
      </c>
      <c r="K21" s="5">
        <f>ROUND(J21/100*198,2)</f>
        <v>39.6</v>
      </c>
      <c r="L21" s="5">
        <v>50</v>
      </c>
      <c r="M21" s="5">
        <f>ROUND(L21/100*I21,2)</f>
        <v>119.79</v>
      </c>
      <c r="N21" s="5">
        <f>M21+K21+I21</f>
        <v>398.97</v>
      </c>
      <c r="O21" s="11">
        <f>H21-N21</f>
        <v>92.47219199999995</v>
      </c>
      <c r="P21" s="43">
        <f t="shared" si="0"/>
        <v>23.177730656440321</v>
      </c>
    </row>
    <row r="22" spans="1:17" x14ac:dyDescent="0.25">
      <c r="A22" s="4" t="s">
        <v>12</v>
      </c>
      <c r="B22" s="4" t="s">
        <v>30</v>
      </c>
      <c r="C22" s="13">
        <f>9476.18*P1</f>
        <v>326.66287696000006</v>
      </c>
      <c r="D22" s="5">
        <v>20</v>
      </c>
      <c r="E22" s="5">
        <f>ROUND(D22/100*C22,2)</f>
        <v>65.33</v>
      </c>
      <c r="F22" s="5">
        <v>50</v>
      </c>
      <c r="G22" s="5">
        <f>ROUND(F22/100*C22,2)</f>
        <v>163.33000000000001</v>
      </c>
      <c r="H22" s="29">
        <f>G22+E22+C22</f>
        <v>555.32287696000003</v>
      </c>
      <c r="I22" s="5">
        <v>273.24</v>
      </c>
      <c r="J22" s="5">
        <v>20</v>
      </c>
      <c r="K22" s="5">
        <f>ROUND(J22/100*198,2)</f>
        <v>39.6</v>
      </c>
      <c r="L22" s="5">
        <v>50</v>
      </c>
      <c r="M22" s="5">
        <f>ROUND(L22/100*I22,2)</f>
        <v>136.62</v>
      </c>
      <c r="N22" s="8">
        <f>M22+K22+I22</f>
        <v>449.46000000000004</v>
      </c>
      <c r="O22" s="11">
        <f>H22-N22</f>
        <v>105.86287695999999</v>
      </c>
      <c r="P22" s="43">
        <f t="shared" si="0"/>
        <v>23.553347786232365</v>
      </c>
    </row>
    <row r="23" spans="1:17" ht="9.75" customHeight="1" x14ac:dyDescent="0.25">
      <c r="A23" s="12"/>
      <c r="B23" s="12"/>
      <c r="C23" s="23"/>
      <c r="D23" s="16"/>
      <c r="E23" s="16"/>
      <c r="F23" s="16"/>
      <c r="G23" s="16"/>
      <c r="H23" s="28"/>
      <c r="I23" s="16"/>
      <c r="J23" s="16"/>
      <c r="K23" s="16"/>
      <c r="L23" s="16"/>
      <c r="M23" s="16"/>
      <c r="N23" s="14"/>
      <c r="O23" s="23"/>
      <c r="P23" s="33"/>
    </row>
    <row r="24" spans="1:17" x14ac:dyDescent="0.25">
      <c r="A24" s="50" t="s">
        <v>52</v>
      </c>
      <c r="B24" s="12"/>
      <c r="C24" s="23"/>
      <c r="D24" s="16"/>
      <c r="E24" s="16"/>
      <c r="F24" s="16"/>
      <c r="G24" s="16"/>
      <c r="H24" s="28"/>
      <c r="I24" s="16"/>
      <c r="J24" s="16"/>
      <c r="K24" s="16"/>
      <c r="L24" s="16"/>
      <c r="M24" s="16"/>
      <c r="N24" s="14"/>
      <c r="O24" s="23"/>
      <c r="P24" s="33"/>
    </row>
    <row r="25" spans="1:17" x14ac:dyDescent="0.25">
      <c r="A25" s="91" t="s">
        <v>61</v>
      </c>
      <c r="B25" s="92"/>
      <c r="C25" s="92"/>
      <c r="D25" s="92"/>
      <c r="E25" s="92"/>
      <c r="F25" s="92"/>
      <c r="G25" s="92"/>
      <c r="H25" s="93"/>
      <c r="I25" s="78" t="s">
        <v>8</v>
      </c>
      <c r="J25" s="78"/>
      <c r="K25" s="78"/>
      <c r="L25" s="78"/>
      <c r="M25" s="78"/>
      <c r="N25" s="78"/>
      <c r="O25" s="85" t="s">
        <v>10</v>
      </c>
      <c r="P25" s="85"/>
    </row>
    <row r="26" spans="1:17" ht="30" customHeight="1" x14ac:dyDescent="0.3">
      <c r="A26" s="78" t="s">
        <v>1</v>
      </c>
      <c r="B26" s="78" t="s">
        <v>62</v>
      </c>
      <c r="C26" s="78" t="s">
        <v>3</v>
      </c>
      <c r="D26" s="78" t="s">
        <v>4</v>
      </c>
      <c r="E26" s="68"/>
      <c r="F26" s="78" t="s">
        <v>63</v>
      </c>
      <c r="G26" s="68"/>
      <c r="H26" s="83" t="s">
        <v>7</v>
      </c>
      <c r="I26" s="77" t="s">
        <v>9</v>
      </c>
      <c r="J26" s="78" t="s">
        <v>4</v>
      </c>
      <c r="K26" s="68"/>
      <c r="L26" s="78" t="s">
        <v>63</v>
      </c>
      <c r="M26" s="68"/>
      <c r="N26" s="78" t="s">
        <v>7</v>
      </c>
      <c r="O26" s="85"/>
      <c r="P26" s="85"/>
    </row>
    <row r="27" spans="1:17" ht="58.95" customHeight="1" x14ac:dyDescent="0.25">
      <c r="A27" s="79"/>
      <c r="B27" s="79"/>
      <c r="C27" s="79"/>
      <c r="D27" s="15" t="s">
        <v>5</v>
      </c>
      <c r="E27" s="3" t="s">
        <v>6</v>
      </c>
      <c r="F27" s="15" t="s">
        <v>5</v>
      </c>
      <c r="G27" s="3" t="s">
        <v>6</v>
      </c>
      <c r="H27" s="84"/>
      <c r="I27" s="94"/>
      <c r="J27" s="15" t="s">
        <v>5</v>
      </c>
      <c r="K27" s="3" t="s">
        <v>6</v>
      </c>
      <c r="L27" s="15" t="s">
        <v>5</v>
      </c>
      <c r="M27" s="3" t="s">
        <v>6</v>
      </c>
      <c r="N27" s="79"/>
      <c r="O27" s="39" t="s">
        <v>6</v>
      </c>
      <c r="P27" s="49" t="s">
        <v>5</v>
      </c>
    </row>
    <row r="28" spans="1:17" x14ac:dyDescent="0.25">
      <c r="A28" s="4" t="s">
        <v>16</v>
      </c>
      <c r="B28" s="4" t="s">
        <v>29</v>
      </c>
      <c r="C28" s="8">
        <v>8386</v>
      </c>
      <c r="D28" s="5">
        <v>20</v>
      </c>
      <c r="E28" s="8">
        <f>ROUND(D28/100*C28,2)</f>
        <v>1677.2</v>
      </c>
      <c r="F28" s="5">
        <v>50</v>
      </c>
      <c r="G28" s="8">
        <f>ROUND(F28/100*C28,2)</f>
        <v>4193</v>
      </c>
      <c r="H28" s="20">
        <f>G28+E28+C28</f>
        <v>14256.2</v>
      </c>
      <c r="I28" s="8">
        <f>I21/P1</f>
        <v>6949.9883963796701</v>
      </c>
      <c r="J28" s="5">
        <v>20</v>
      </c>
      <c r="K28" s="8">
        <f>K21/P1</f>
        <v>1148.7584126247389</v>
      </c>
      <c r="L28" s="5">
        <v>50</v>
      </c>
      <c r="M28" s="8">
        <f>M21/P1</f>
        <v>3474.9941981898351</v>
      </c>
      <c r="N28" s="8">
        <f>I28+K28+M28</f>
        <v>11573.741007194245</v>
      </c>
      <c r="O28" s="32">
        <f>H28-N28</f>
        <v>2682.4589928057558</v>
      </c>
      <c r="P28" s="48">
        <f>O28/N28*100</f>
        <v>23.177112665112666</v>
      </c>
      <c r="Q28" s="35"/>
    </row>
    <row r="29" spans="1:17" x14ac:dyDescent="0.25">
      <c r="A29" s="4" t="s">
        <v>12</v>
      </c>
      <c r="B29" s="4" t="s">
        <v>30</v>
      </c>
      <c r="C29" s="8">
        <v>9476.18</v>
      </c>
      <c r="D29" s="5">
        <v>20</v>
      </c>
      <c r="E29" s="8">
        <f>ROUND(D29/100*C29,2)</f>
        <v>1895.24</v>
      </c>
      <c r="F29" s="5">
        <v>50</v>
      </c>
      <c r="G29" s="8">
        <f>ROUND(F29/100*C29,2)</f>
        <v>4738.09</v>
      </c>
      <c r="H29" s="20">
        <f>G29+E29+C29</f>
        <v>16109.51</v>
      </c>
      <c r="I29" s="8">
        <f>I22/P1</f>
        <v>7926.4330471106978</v>
      </c>
      <c r="J29" s="5">
        <v>20</v>
      </c>
      <c r="K29" s="8">
        <f>K22/P1</f>
        <v>1148.7584126247389</v>
      </c>
      <c r="L29" s="5">
        <v>50</v>
      </c>
      <c r="M29" s="8">
        <f>M22/P1</f>
        <v>3963.2165235553489</v>
      </c>
      <c r="N29" s="8">
        <f t="shared" ref="N29" si="1">I29+K29+M29</f>
        <v>13038.407983290786</v>
      </c>
      <c r="O29" s="32">
        <f>H29-N29</f>
        <v>3071.1020167092138</v>
      </c>
      <c r="P29" s="48">
        <f t="shared" ref="P29" si="2">O29/N29*100</f>
        <v>23.554271508031867</v>
      </c>
      <c r="Q29" s="35"/>
    </row>
    <row r="30" spans="1:17" x14ac:dyDescent="0.25">
      <c r="A30" s="12"/>
      <c r="B30" s="12"/>
      <c r="C30" s="23"/>
      <c r="D30" s="16"/>
      <c r="E30" s="16"/>
      <c r="F30" s="16"/>
      <c r="G30" s="16"/>
      <c r="H30" s="28"/>
      <c r="I30" s="23"/>
      <c r="J30" s="16"/>
      <c r="K30" s="23"/>
      <c r="L30" s="16"/>
      <c r="M30" s="23"/>
      <c r="N30" s="14">
        <f>M30+K30+I30</f>
        <v>0</v>
      </c>
      <c r="O30" s="23"/>
      <c r="P30" s="14"/>
    </row>
    <row r="31" spans="1:17" x14ac:dyDescent="0.25">
      <c r="A31" s="12"/>
      <c r="B31" s="12"/>
      <c r="C31" s="23"/>
      <c r="D31" s="16"/>
      <c r="E31" s="16"/>
      <c r="F31" s="16"/>
      <c r="G31" s="16"/>
      <c r="H31" s="28"/>
      <c r="I31" s="23"/>
      <c r="J31" s="16"/>
      <c r="K31" s="23"/>
      <c r="L31" s="16"/>
      <c r="M31" s="23"/>
      <c r="N31" s="14">
        <f>M31+K31+I31</f>
        <v>0</v>
      </c>
      <c r="O31" s="23"/>
      <c r="P31" s="14"/>
    </row>
    <row r="32" spans="1:17" ht="14.4" x14ac:dyDescent="0.3">
      <c r="A32" s="6" t="s">
        <v>31</v>
      </c>
    </row>
    <row r="33" spans="1:16" x14ac:dyDescent="0.25">
      <c r="A33" s="31" t="s">
        <v>51</v>
      </c>
    </row>
    <row r="34" spans="1:16" ht="15" customHeight="1" x14ac:dyDescent="0.25">
      <c r="A34" s="95" t="s">
        <v>61</v>
      </c>
      <c r="B34" s="96"/>
      <c r="C34" s="96"/>
      <c r="D34" s="96"/>
      <c r="E34" s="96"/>
      <c r="F34" s="96"/>
      <c r="G34" s="96"/>
      <c r="H34" s="97"/>
      <c r="I34" s="78" t="s">
        <v>8</v>
      </c>
      <c r="J34" s="78"/>
      <c r="K34" s="78"/>
      <c r="L34" s="78"/>
      <c r="M34" s="78"/>
      <c r="N34" s="78"/>
      <c r="O34" s="78" t="s">
        <v>10</v>
      </c>
      <c r="P34" s="78"/>
    </row>
    <row r="35" spans="1:16" ht="48.75" customHeight="1" x14ac:dyDescent="0.3">
      <c r="A35" s="78" t="s">
        <v>1</v>
      </c>
      <c r="B35" s="78" t="s">
        <v>62</v>
      </c>
      <c r="C35" s="78" t="s">
        <v>3</v>
      </c>
      <c r="D35" s="78" t="s">
        <v>4</v>
      </c>
      <c r="E35" s="68"/>
      <c r="F35" s="78" t="s">
        <v>63</v>
      </c>
      <c r="G35" s="68"/>
      <c r="H35" s="83" t="s">
        <v>7</v>
      </c>
      <c r="I35" s="77" t="s">
        <v>9</v>
      </c>
      <c r="J35" s="78" t="s">
        <v>4</v>
      </c>
      <c r="K35" s="68"/>
      <c r="L35" s="78" t="s">
        <v>63</v>
      </c>
      <c r="M35" s="68"/>
      <c r="N35" s="78" t="s">
        <v>7</v>
      </c>
      <c r="O35" s="78"/>
      <c r="P35" s="78"/>
    </row>
    <row r="36" spans="1:16" ht="35.25" customHeight="1" x14ac:dyDescent="0.25">
      <c r="A36" s="79"/>
      <c r="B36" s="79"/>
      <c r="C36" s="79"/>
      <c r="D36" s="9" t="s">
        <v>5</v>
      </c>
      <c r="E36" s="3" t="s">
        <v>6</v>
      </c>
      <c r="F36" s="9" t="s">
        <v>5</v>
      </c>
      <c r="G36" s="3" t="s">
        <v>6</v>
      </c>
      <c r="H36" s="84"/>
      <c r="I36" s="94"/>
      <c r="J36" s="9" t="s">
        <v>5</v>
      </c>
      <c r="K36" s="3" t="s">
        <v>6</v>
      </c>
      <c r="L36" s="9" t="s">
        <v>5</v>
      </c>
      <c r="M36" s="3" t="s">
        <v>6</v>
      </c>
      <c r="N36" s="79"/>
      <c r="O36" s="38" t="s">
        <v>6</v>
      </c>
      <c r="P36" s="3" t="s">
        <v>5</v>
      </c>
    </row>
    <row r="37" spans="1:16" x14ac:dyDescent="0.25">
      <c r="A37" s="4" t="s">
        <v>16</v>
      </c>
      <c r="B37" s="4" t="s">
        <v>32</v>
      </c>
      <c r="C37" s="13">
        <f>7000*P1</f>
        <v>241.30400000000003</v>
      </c>
      <c r="D37" s="5">
        <v>20</v>
      </c>
      <c r="E37" s="5">
        <f>ROUND(D37/100*C37,2)</f>
        <v>48.26</v>
      </c>
      <c r="F37" s="5">
        <v>0</v>
      </c>
      <c r="G37" s="5">
        <f>ROUND(F37/100*C37,2)</f>
        <v>0</v>
      </c>
      <c r="H37" s="29">
        <f>G37+E37+C37</f>
        <v>289.56400000000002</v>
      </c>
      <c r="I37" s="11">
        <v>198</v>
      </c>
      <c r="J37" s="5">
        <v>20</v>
      </c>
      <c r="K37" s="5">
        <f>ROUND(J37/100*198,2)</f>
        <v>39.6</v>
      </c>
      <c r="L37" s="5">
        <v>0</v>
      </c>
      <c r="M37" s="5">
        <f>ROUND(L37/100*I37,2)</f>
        <v>0</v>
      </c>
      <c r="N37" s="11">
        <f>M37+K37+I37</f>
        <v>237.6</v>
      </c>
      <c r="O37" s="11">
        <f>H37-N37</f>
        <v>51.964000000000027</v>
      </c>
      <c r="P37" s="51">
        <f>O37/N37*100</f>
        <v>21.870370370370381</v>
      </c>
    </row>
    <row r="38" spans="1:16" x14ac:dyDescent="0.25">
      <c r="A38" s="12"/>
      <c r="B38" s="12"/>
      <c r="C38" s="23"/>
      <c r="D38" s="16"/>
      <c r="E38" s="16"/>
      <c r="F38" s="16"/>
      <c r="G38" s="16"/>
      <c r="H38" s="28"/>
      <c r="I38" s="23"/>
      <c r="J38" s="16"/>
      <c r="K38" s="16"/>
      <c r="L38" s="16"/>
      <c r="M38" s="16"/>
      <c r="N38" s="23"/>
      <c r="O38" s="23"/>
      <c r="P38" s="14"/>
    </row>
    <row r="39" spans="1:16" x14ac:dyDescent="0.25">
      <c r="A39" s="50" t="s">
        <v>52</v>
      </c>
      <c r="B39" s="12"/>
      <c r="C39" s="23"/>
      <c r="D39" s="16"/>
      <c r="E39" s="16"/>
      <c r="F39" s="16"/>
      <c r="G39" s="16"/>
      <c r="H39" s="28"/>
      <c r="I39" s="23"/>
      <c r="J39" s="16"/>
      <c r="K39" s="16"/>
      <c r="L39" s="16"/>
      <c r="M39" s="16"/>
      <c r="N39" s="23"/>
      <c r="O39" s="23"/>
      <c r="P39" s="14"/>
    </row>
    <row r="40" spans="1:16" x14ac:dyDescent="0.25">
      <c r="A40" s="91" t="s">
        <v>61</v>
      </c>
      <c r="B40" s="92"/>
      <c r="C40" s="92"/>
      <c r="D40" s="92"/>
      <c r="E40" s="92"/>
      <c r="F40" s="92"/>
      <c r="G40" s="92"/>
      <c r="H40" s="93"/>
      <c r="I40" s="78" t="s">
        <v>8</v>
      </c>
      <c r="J40" s="78"/>
      <c r="K40" s="78"/>
      <c r="L40" s="78"/>
      <c r="M40" s="78"/>
      <c r="N40" s="78"/>
      <c r="O40" s="85" t="s">
        <v>10</v>
      </c>
      <c r="P40" s="85"/>
    </row>
    <row r="41" spans="1:16" ht="45" customHeight="1" x14ac:dyDescent="0.3">
      <c r="A41" s="78" t="s">
        <v>1</v>
      </c>
      <c r="B41" s="78" t="s">
        <v>62</v>
      </c>
      <c r="C41" s="78" t="s">
        <v>3</v>
      </c>
      <c r="D41" s="78" t="s">
        <v>4</v>
      </c>
      <c r="E41" s="68"/>
      <c r="F41" s="78" t="s">
        <v>63</v>
      </c>
      <c r="G41" s="68"/>
      <c r="H41" s="83" t="s">
        <v>7</v>
      </c>
      <c r="I41" s="77" t="s">
        <v>9</v>
      </c>
      <c r="J41" s="78" t="s">
        <v>4</v>
      </c>
      <c r="K41" s="68"/>
      <c r="L41" s="78" t="s">
        <v>63</v>
      </c>
      <c r="M41" s="68"/>
      <c r="N41" s="78" t="s">
        <v>7</v>
      </c>
      <c r="O41" s="85"/>
      <c r="P41" s="85"/>
    </row>
    <row r="42" spans="1:16" ht="31.5" customHeight="1" x14ac:dyDescent="0.25">
      <c r="A42" s="79"/>
      <c r="B42" s="79"/>
      <c r="C42" s="79"/>
      <c r="D42" s="10" t="s">
        <v>5</v>
      </c>
      <c r="E42" s="3" t="s">
        <v>6</v>
      </c>
      <c r="F42" s="10" t="s">
        <v>5</v>
      </c>
      <c r="G42" s="3" t="s">
        <v>6</v>
      </c>
      <c r="H42" s="84"/>
      <c r="I42" s="94"/>
      <c r="J42" s="10" t="s">
        <v>5</v>
      </c>
      <c r="K42" s="3" t="s">
        <v>6</v>
      </c>
      <c r="L42" s="10" t="s">
        <v>5</v>
      </c>
      <c r="M42" s="3" t="s">
        <v>6</v>
      </c>
      <c r="N42" s="79"/>
      <c r="O42" s="39" t="s">
        <v>6</v>
      </c>
      <c r="P42" s="49" t="s">
        <v>5</v>
      </c>
    </row>
    <row r="43" spans="1:16" x14ac:dyDescent="0.25">
      <c r="A43" s="4" t="s">
        <v>16</v>
      </c>
      <c r="B43" s="4" t="s">
        <v>32</v>
      </c>
      <c r="C43" s="8">
        <v>7000</v>
      </c>
      <c r="D43" s="5">
        <v>20</v>
      </c>
      <c r="E43" s="8">
        <f>ROUND(D43/100*C43,2)</f>
        <v>1400</v>
      </c>
      <c r="F43" s="5">
        <v>0</v>
      </c>
      <c r="G43" s="5">
        <f>ROUND(F43/100*C43,2)</f>
        <v>0</v>
      </c>
      <c r="H43" s="8">
        <f>ROUND(H37/'ППС+педагогические работники'!$S$2,'ППС+педагогические работники'!H2)</f>
        <v>8400</v>
      </c>
      <c r="I43" s="8">
        <f>ROUND(I37/$P$1,2)</f>
        <v>5743.79</v>
      </c>
      <c r="J43" s="5">
        <v>20</v>
      </c>
      <c r="K43" s="8">
        <f>ROUND(J43/100/$P$1*198,2)</f>
        <v>1148.76</v>
      </c>
      <c r="L43" s="5">
        <v>0</v>
      </c>
      <c r="M43" s="5">
        <f>ROUND(L43/100*I43,2)</f>
        <v>0</v>
      </c>
      <c r="N43" s="8">
        <f>M43+K43+I43</f>
        <v>6892.55</v>
      </c>
      <c r="O43" s="32">
        <f>H43-N43</f>
        <v>1507.4499999999998</v>
      </c>
      <c r="P43" s="46">
        <f>O43/N43*100</f>
        <v>21.870715482658809</v>
      </c>
    </row>
    <row r="44" spans="1:16" ht="14.4" x14ac:dyDescent="0.3">
      <c r="A44" s="6"/>
    </row>
    <row r="45" spans="1:16" ht="14.4" x14ac:dyDescent="0.3">
      <c r="A45" s="6"/>
    </row>
  </sheetData>
  <mergeCells count="79">
    <mergeCell ref="L35:M35"/>
    <mergeCell ref="N35:N36"/>
    <mergeCell ref="I35:I36"/>
    <mergeCell ref="H35:H36"/>
    <mergeCell ref="O25:P26"/>
    <mergeCell ref="A25:H25"/>
    <mergeCell ref="I25:N25"/>
    <mergeCell ref="A26:A27"/>
    <mergeCell ref="B26:B27"/>
    <mergeCell ref="C26:C27"/>
    <mergeCell ref="D26:E26"/>
    <mergeCell ref="F26:G26"/>
    <mergeCell ref="H26:H27"/>
    <mergeCell ref="I26:I27"/>
    <mergeCell ref="J26:K26"/>
    <mergeCell ref="L26:M26"/>
    <mergeCell ref="N26:N27"/>
    <mergeCell ref="A18:H18"/>
    <mergeCell ref="I18:N18"/>
    <mergeCell ref="L19:M19"/>
    <mergeCell ref="N19:N20"/>
    <mergeCell ref="J4:K4"/>
    <mergeCell ref="L4:M4"/>
    <mergeCell ref="N4:N5"/>
    <mergeCell ref="I4:I5"/>
    <mergeCell ref="A10:H10"/>
    <mergeCell ref="I10:N10"/>
    <mergeCell ref="N11:N12"/>
    <mergeCell ref="A35:A36"/>
    <mergeCell ref="B35:B36"/>
    <mergeCell ref="C35:C36"/>
    <mergeCell ref="H19:H20"/>
    <mergeCell ref="J19:K19"/>
    <mergeCell ref="I19:I20"/>
    <mergeCell ref="A34:H34"/>
    <mergeCell ref="I34:N34"/>
    <mergeCell ref="A19:A20"/>
    <mergeCell ref="B19:B20"/>
    <mergeCell ref="C19:C20"/>
    <mergeCell ref="D19:E19"/>
    <mergeCell ref="F19:G19"/>
    <mergeCell ref="D35:E35"/>
    <mergeCell ref="F35:G35"/>
    <mergeCell ref="J35:K35"/>
    <mergeCell ref="O10:P11"/>
    <mergeCell ref="A3:H3"/>
    <mergeCell ref="A4:A5"/>
    <mergeCell ref="B4:B5"/>
    <mergeCell ref="C4:C5"/>
    <mergeCell ref="D4:E4"/>
    <mergeCell ref="F4:G4"/>
    <mergeCell ref="H4:H5"/>
    <mergeCell ref="I3:N3"/>
    <mergeCell ref="H41:H42"/>
    <mergeCell ref="I41:I42"/>
    <mergeCell ref="J41:K41"/>
    <mergeCell ref="L41:M41"/>
    <mergeCell ref="N41:N42"/>
    <mergeCell ref="A41:A42"/>
    <mergeCell ref="B41:B42"/>
    <mergeCell ref="C41:C42"/>
    <mergeCell ref="D41:E41"/>
    <mergeCell ref="F41:G41"/>
    <mergeCell ref="O18:P19"/>
    <mergeCell ref="O34:P35"/>
    <mergeCell ref="N1:O1"/>
    <mergeCell ref="O3:P4"/>
    <mergeCell ref="A40:H40"/>
    <mergeCell ref="I40:N40"/>
    <mergeCell ref="O40:P41"/>
    <mergeCell ref="A11:A12"/>
    <mergeCell ref="B11:B12"/>
    <mergeCell ref="C11:C12"/>
    <mergeCell ref="D11:E11"/>
    <mergeCell ref="F11:G11"/>
    <mergeCell ref="H11:H12"/>
    <mergeCell ref="I11:I12"/>
    <mergeCell ref="J11:K11"/>
    <mergeCell ref="L11:M11"/>
  </mergeCells>
  <pageMargins left="0.39370078740157483" right="0.39370078740157483" top="0.59055118110236227" bottom="0.3937007874015748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ППС база+коэф</vt:lpstr>
      <vt:lpstr>ППС+педагогические работники</vt:lpstr>
      <vt:lpstr>Служащие+работники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Тменова С.У.</dc:creator>
  <cp:lastModifiedBy>user</cp:lastModifiedBy>
  <cp:lastPrinted>2022-06-14T08:44:46Z</cp:lastPrinted>
  <dcterms:created xsi:type="dcterms:W3CDTF">2021-12-05T18:50:29Z</dcterms:created>
  <dcterms:modified xsi:type="dcterms:W3CDTF">2022-06-14T09:13:32Z</dcterms:modified>
</cp:coreProperties>
</file>